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8394\Documents\FY 07 Project Starts\H2A Website (HyARC)\Production Consumption Data\HyARC spreadsheets\"/>
    </mc:Choice>
  </mc:AlternateContent>
  <bookViews>
    <workbookView xWindow="-3120" yWindow="555" windowWidth="15360" windowHeight="5385"/>
  </bookViews>
  <sheets>
    <sheet name="Plant Capacities" sheetId="2" r:id="rId1"/>
    <sheet name="References" sheetId="7" r:id="rId2"/>
  </sheets>
  <definedNames>
    <definedName name="_xlnm.Print_Area" localSheetId="0">'Plant Capacities'!$A$1:$L$182</definedName>
    <definedName name="_xlnm.Print_Area" localSheetId="1">References!$A$1:$C$48</definedName>
    <definedName name="_xlnm.Print_Titles" localSheetId="0">'Plant Capacities'!$3:$3</definedName>
  </definedNames>
  <calcPr calcId="152511"/>
</workbook>
</file>

<file path=xl/calcChain.xml><?xml version="1.0" encoding="utf-8"?>
<calcChain xmlns="http://schemas.openxmlformats.org/spreadsheetml/2006/main">
  <c r="K188" i="2" l="1"/>
  <c r="I188" i="2"/>
  <c r="J188" i="2"/>
  <c r="H188" i="2"/>
  <c r="I163" i="2" l="1"/>
  <c r="J163" i="2" s="1"/>
  <c r="I160" i="2" l="1"/>
  <c r="J160" i="2" s="1"/>
  <c r="I159" i="2" l="1"/>
  <c r="J159" i="2" s="1"/>
  <c r="I177" i="2"/>
  <c r="J177" i="2" s="1"/>
  <c r="I156" i="2" l="1"/>
  <c r="J156" i="2" s="1"/>
  <c r="I26" i="2" l="1"/>
  <c r="J26" i="2" s="1"/>
  <c r="I32" i="2"/>
  <c r="J32" i="2"/>
  <c r="I43" i="2"/>
  <c r="J43" i="2" s="1"/>
  <c r="I143" i="2"/>
  <c r="J143" i="2" s="1"/>
  <c r="I81" i="2"/>
  <c r="J81" i="2" s="1"/>
  <c r="I146" i="2"/>
  <c r="J146" i="2" s="1"/>
  <c r="I158" i="2"/>
  <c r="J158" i="2" s="1"/>
  <c r="I45" i="2"/>
  <c r="J45" i="2" s="1"/>
  <c r="I99" i="2"/>
  <c r="J99" i="2" s="1"/>
  <c r="J56" i="2"/>
  <c r="I38" i="2"/>
  <c r="J38" i="2" s="1"/>
  <c r="I36" i="2"/>
  <c r="J36" i="2" s="1"/>
  <c r="I134" i="2" l="1"/>
  <c r="J134" i="2" s="1"/>
  <c r="I132" i="2"/>
  <c r="J132" i="2" s="1"/>
  <c r="I101" i="2" l="1"/>
  <c r="J101" i="2" s="1"/>
  <c r="I35" i="2" l="1"/>
  <c r="H35" i="2" s="1"/>
  <c r="I149" i="2"/>
  <c r="J149" i="2" s="1"/>
  <c r="I27" i="2"/>
  <c r="J27" i="2" s="1"/>
  <c r="I44" i="2"/>
  <c r="J44" i="2" s="1"/>
  <c r="H40" i="2"/>
  <c r="I40" i="2" s="1"/>
  <c r="J40" i="2" s="1"/>
  <c r="I107" i="2"/>
  <c r="J107" i="2" s="1"/>
  <c r="I72" i="2"/>
  <c r="J72" i="2" s="1"/>
  <c r="I123" i="2"/>
  <c r="J123" i="2" s="1"/>
  <c r="I122" i="2"/>
  <c r="J122" i="2" s="1"/>
  <c r="I120" i="2"/>
  <c r="J120" i="2" s="1"/>
  <c r="I109" i="2"/>
  <c r="J109" i="2" s="1"/>
  <c r="I48" i="2"/>
  <c r="J48" i="2" s="1"/>
  <c r="I105" i="2"/>
  <c r="J105" i="2" s="1"/>
  <c r="H130" i="2"/>
  <c r="I130" i="2" s="1"/>
  <c r="J130" i="2" s="1"/>
  <c r="H128" i="2"/>
  <c r="I128" i="2" s="1"/>
  <c r="J128" i="2" s="1"/>
  <c r="H131" i="2"/>
  <c r="I131" i="2" s="1"/>
  <c r="J131" i="2" s="1"/>
  <c r="H85" i="2"/>
  <c r="I85" i="2" s="1"/>
  <c r="J85" i="2" s="1"/>
  <c r="H82" i="2"/>
  <c r="I82" i="2" s="1"/>
  <c r="J82" i="2" s="1"/>
  <c r="H129" i="2"/>
  <c r="I129" i="2" s="1"/>
  <c r="J129" i="2" s="1"/>
  <c r="H133" i="2"/>
  <c r="I133" i="2" s="1"/>
  <c r="J133" i="2" s="1"/>
  <c r="H83" i="2"/>
  <c r="I83" i="2" s="1"/>
  <c r="J83" i="2" s="1"/>
  <c r="H84" i="2"/>
  <c r="I84" i="2" s="1"/>
  <c r="J84" i="2" s="1"/>
  <c r="H124" i="2"/>
  <c r="I124" i="2" s="1"/>
  <c r="J124" i="2" s="1"/>
  <c r="H127" i="2"/>
  <c r="I127" i="2" s="1"/>
  <c r="J127" i="2" s="1"/>
  <c r="H126" i="2"/>
  <c r="I126" i="2" s="1"/>
  <c r="J126" i="2" s="1"/>
  <c r="H125" i="2"/>
  <c r="I125" i="2" s="1"/>
  <c r="J125" i="2" s="1"/>
  <c r="H53" i="2"/>
  <c r="I53" i="2" s="1"/>
  <c r="J53" i="2" s="1"/>
  <c r="H52" i="2"/>
  <c r="I52" i="2" s="1"/>
  <c r="J52" i="2" s="1"/>
  <c r="H150" i="2"/>
  <c r="I150" i="2" s="1"/>
  <c r="J150" i="2" s="1"/>
  <c r="H47" i="2"/>
  <c r="I47" i="2" s="1"/>
  <c r="J47" i="2" s="1"/>
  <c r="I50" i="2"/>
  <c r="J50" i="2" s="1"/>
  <c r="I49" i="2"/>
  <c r="J49" i="2" s="1"/>
  <c r="H46" i="2"/>
  <c r="I46" i="2" s="1"/>
  <c r="J46" i="2" s="1"/>
  <c r="H74" i="2"/>
  <c r="I74" i="2" s="1"/>
  <c r="H73" i="2"/>
  <c r="I73" i="2" s="1"/>
  <c r="J73" i="2" s="1"/>
  <c r="H86" i="2"/>
  <c r="I86" i="2" s="1"/>
  <c r="J86" i="2" s="1"/>
  <c r="I174" i="2"/>
  <c r="J174" i="2" s="1"/>
  <c r="H88" i="2"/>
  <c r="I88" i="2" s="1"/>
  <c r="J88" i="2" s="1"/>
  <c r="H173" i="2"/>
  <c r="I173" i="2" s="1"/>
  <c r="J173" i="2" s="1"/>
  <c r="H155" i="2"/>
  <c r="I155" i="2" s="1"/>
  <c r="J155" i="2" s="1"/>
  <c r="H154" i="2"/>
  <c r="I154" i="2" s="1"/>
  <c r="J154" i="2" s="1"/>
  <c r="I166" i="2"/>
  <c r="J166" i="2" s="1"/>
  <c r="H64" i="2"/>
  <c r="I64" i="2" s="1"/>
  <c r="J64" i="2" s="1"/>
  <c r="H87" i="2"/>
  <c r="I87" i="2" s="1"/>
  <c r="J87" i="2" s="1"/>
  <c r="H165" i="2"/>
  <c r="I165" i="2" s="1"/>
  <c r="J165" i="2" s="1"/>
  <c r="H171" i="2"/>
  <c r="I171" i="2" s="1"/>
  <c r="J171" i="2" s="1"/>
  <c r="H121" i="2"/>
  <c r="I121" i="2" s="1"/>
  <c r="J121" i="2" s="1"/>
  <c r="H118" i="2"/>
  <c r="I118" i="2" s="1"/>
  <c r="J118" i="2" s="1"/>
  <c r="H116" i="2"/>
  <c r="I116" i="2" s="1"/>
  <c r="J116" i="2" s="1"/>
  <c r="I30" i="2"/>
  <c r="J30" i="2" s="1"/>
  <c r="H31" i="2"/>
  <c r="I31" i="2" s="1"/>
  <c r="J31" i="2" s="1"/>
  <c r="H29" i="2"/>
  <c r="I29" i="2" s="1"/>
  <c r="J29" i="2" s="1"/>
  <c r="H28" i="2"/>
  <c r="I28" i="2" s="1"/>
  <c r="J28" i="2" s="1"/>
  <c r="H98" i="2"/>
  <c r="I98" i="2" s="1"/>
  <c r="J98" i="2" s="1"/>
  <c r="H24" i="2"/>
  <c r="I24" i="2" s="1"/>
  <c r="J24" i="2" s="1"/>
  <c r="H97" i="2"/>
  <c r="I97" i="2" s="1"/>
  <c r="J97" i="2" s="1"/>
  <c r="H95" i="2"/>
  <c r="I95" i="2" s="1"/>
  <c r="J95" i="2" s="1"/>
  <c r="H152" i="2"/>
  <c r="H54" i="2"/>
  <c r="I54" i="2" s="1"/>
  <c r="J54" i="2" s="1"/>
  <c r="H42" i="2"/>
  <c r="I42" i="2" s="1"/>
  <c r="J42" i="2" s="1"/>
  <c r="H34" i="2"/>
  <c r="I34" i="2" s="1"/>
  <c r="J34" i="2" s="1"/>
  <c r="H104" i="2"/>
  <c r="I104" i="2" s="1"/>
  <c r="J104" i="2" s="1"/>
  <c r="I108" i="2"/>
  <c r="J108" i="2" s="1"/>
  <c r="H103" i="2"/>
  <c r="I103" i="2" s="1"/>
  <c r="J103" i="2" s="1"/>
  <c r="H37" i="2"/>
  <c r="I37" i="2" s="1"/>
  <c r="J37" i="2" s="1"/>
  <c r="H33" i="2"/>
  <c r="I33" i="2" s="1"/>
  <c r="J33" i="2" s="1"/>
  <c r="H112" i="2"/>
  <c r="I112" i="2" s="1"/>
  <c r="J112" i="2" s="1"/>
  <c r="H113" i="2"/>
  <c r="I113" i="2" s="1"/>
  <c r="J113" i="2" s="1"/>
  <c r="H111" i="2"/>
  <c r="I111" i="2" s="1"/>
  <c r="J111" i="2" s="1"/>
  <c r="H39" i="2"/>
  <c r="I39" i="2" s="1"/>
  <c r="J39" i="2" s="1"/>
  <c r="H41" i="2"/>
  <c r="I41" i="2" s="1"/>
  <c r="J41" i="2" s="1"/>
  <c r="H62" i="2"/>
  <c r="I62" i="2" s="1"/>
  <c r="J62" i="2" s="1"/>
  <c r="H22" i="2"/>
  <c r="I22" i="2" s="1"/>
  <c r="J22" i="2" s="1"/>
  <c r="H21" i="2"/>
  <c r="I21" i="2" s="1"/>
  <c r="J21" i="2" s="1"/>
  <c r="H19" i="2"/>
  <c r="I19" i="2" s="1"/>
  <c r="J19" i="2" s="1"/>
  <c r="H25" i="2"/>
  <c r="I25" i="2" s="1"/>
  <c r="J25" i="2" s="1"/>
  <c r="I170" i="2"/>
  <c r="J170" i="2" s="1"/>
  <c r="I119" i="2"/>
  <c r="J119" i="2" s="1"/>
  <c r="H94" i="2"/>
  <c r="I94" i="2" s="1"/>
  <c r="I7" i="2"/>
  <c r="H7" i="2" s="1"/>
  <c r="I8" i="2"/>
  <c r="H8" i="2" s="1"/>
  <c r="I9" i="2"/>
  <c r="H9" i="2" s="1"/>
  <c r="I10" i="2"/>
  <c r="H10" i="2" s="1"/>
  <c r="J12" i="2"/>
  <c r="J55" i="2"/>
  <c r="I55" i="2" s="1"/>
  <c r="H55" i="2" s="1"/>
  <c r="I15" i="2"/>
  <c r="J15" i="2" s="1"/>
  <c r="I56" i="2"/>
  <c r="H56" i="2" s="1"/>
  <c r="H66" i="2"/>
  <c r="H79" i="2"/>
  <c r="I110" i="2"/>
  <c r="J110" i="2" s="1"/>
  <c r="J79" i="2"/>
  <c r="J66" i="2"/>
  <c r="I18" i="2"/>
  <c r="J18" i="2" s="1"/>
  <c r="I106" i="2"/>
  <c r="J106" i="2" s="1"/>
  <c r="I17" i="2"/>
  <c r="J17" i="2" s="1"/>
  <c r="H80" i="2"/>
  <c r="J80" i="2"/>
  <c r="H185" i="2" l="1"/>
  <c r="H187" i="2"/>
  <c r="J184" i="2"/>
  <c r="I152" i="2"/>
  <c r="J152" i="2" s="1"/>
  <c r="J187" i="2" s="1"/>
  <c r="H184" i="2"/>
  <c r="J74" i="2"/>
  <c r="J185" i="2" s="1"/>
  <c r="I185" i="2"/>
  <c r="H186" i="2"/>
  <c r="I184" i="2"/>
  <c r="I186" i="2"/>
  <c r="H12" i="2"/>
  <c r="I12" i="2"/>
  <c r="J94" i="2"/>
  <c r="J186" i="2" s="1"/>
  <c r="I92" i="2" l="1"/>
  <c r="H92" i="2" s="1"/>
  <c r="H179" i="2" s="1"/>
  <c r="H181" i="2" s="1"/>
  <c r="I187" i="2"/>
  <c r="J179" i="2" l="1"/>
  <c r="J181" i="2" s="1"/>
  <c r="I179" i="2"/>
  <c r="I181" i="2" s="1"/>
  <c r="K184" i="2" l="1"/>
  <c r="K187" i="2"/>
  <c r="K186" i="2"/>
  <c r="K185" i="2"/>
</calcChain>
</file>

<file path=xl/comments1.xml><?xml version="1.0" encoding="utf-8"?>
<comments xmlns="http://schemas.openxmlformats.org/spreadsheetml/2006/main">
  <authors>
    <author>Daryl R. Brown</author>
    <author>Daryl Brown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Assumes Nm3 at 1 atm and 0C.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Assumes SCF at 60F and one atmosphere
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See References tab.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off gas source</t>
        </r>
      </text>
    </comment>
    <comment ref="G2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ethylene plant</t>
        </r>
      </text>
    </comment>
    <comment ref="J35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NG-SMR HyCO plant </t>
        </r>
      </text>
    </comment>
    <comment ref="L43" authorId="1" shapeId="0">
      <text>
        <r>
          <rPr>
            <b/>
            <sz val="9"/>
            <color indexed="81"/>
            <rFont val="Tahoma"/>
            <charset val="1"/>
          </rPr>
          <t>Daryl Brown:</t>
        </r>
        <r>
          <rPr>
            <sz val="9"/>
            <color indexed="81"/>
            <rFont val="Tahoma"/>
            <charset val="1"/>
          </rPr>
          <t xml:space="preserve">
capacity upgraded to 350 Nm3/hr in 2007.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aka Rozenburg Site</t>
        </r>
      </text>
    </comment>
    <comment ref="B49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aka Rozenburg Site</t>
        </r>
      </text>
    </comment>
    <comment ref="B5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aka Rozenburg Site</t>
        </r>
      </text>
    </comment>
    <comment ref="F51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offgas source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for the production of aniline.</t>
        </r>
      </text>
    </comment>
    <comment ref="A72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Takes refinery gas from Exxon and returns H2.</t>
        </r>
      </text>
    </comment>
    <comment ref="H8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butane reformer</t>
        </r>
      </text>
    </comment>
    <comment ref="D108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SMR is at Esso refinery nearby.</t>
        </r>
      </text>
    </comment>
    <comment ref="F108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Part of hydrogen sent to Linde LH2 plant.</t>
        </r>
      </text>
    </comment>
    <comment ref="B132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Also referred to as North Tees or Teesside</t>
        </r>
      </text>
    </comment>
    <comment ref="A154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Majority owned by Praxair</t>
        </r>
      </text>
    </comment>
    <comment ref="A155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Majority owned by Praxair</t>
        </r>
      </text>
    </comment>
    <comment ref="L159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upgraded to 17,000 Nm3/hr in 2004</t>
        </r>
      </text>
    </comment>
    <comment ref="B175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aka, Fyn, a Danish island</t>
        </r>
      </text>
    </comment>
  </commentList>
</comments>
</file>

<file path=xl/comments2.xml><?xml version="1.0" encoding="utf-8"?>
<comments xmlns="http://schemas.openxmlformats.org/spreadsheetml/2006/main">
  <authors>
    <author>Daryl Brown</author>
  </authors>
  <commentList>
    <comment ref="B51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"Use of Metal Membranes in CO/H2 separation" Nov. 2011</t>
        </r>
      </text>
    </comment>
  </commentList>
</comments>
</file>

<file path=xl/sharedStrings.xml><?xml version="1.0" encoding="utf-8"?>
<sst xmlns="http://schemas.openxmlformats.org/spreadsheetml/2006/main" count="942" uniqueCount="371">
  <si>
    <r>
      <t>Total Merchant Cryogenic Liquid</t>
    </r>
    <r>
      <rPr>
        <sz val="10"/>
        <rFont val="Arial"/>
        <family val="2"/>
      </rPr>
      <t xml:space="preserve"> </t>
    </r>
  </si>
  <si>
    <r>
      <t>Total Merchant Compressed Gas</t>
    </r>
    <r>
      <rPr>
        <sz val="10"/>
        <rFont val="Arial"/>
        <family val="2"/>
      </rPr>
      <t xml:space="preserve"> </t>
    </r>
  </si>
  <si>
    <r>
      <t>Total Merchant Product</t>
    </r>
    <r>
      <rPr>
        <sz val="10"/>
        <rFont val="Arial"/>
        <family val="2"/>
      </rPr>
      <t xml:space="preserve"> </t>
    </r>
  </si>
  <si>
    <t>Producer</t>
  </si>
  <si>
    <t>Air Products</t>
  </si>
  <si>
    <t>City</t>
  </si>
  <si>
    <t>Praxair</t>
  </si>
  <si>
    <t>Air Liquide</t>
  </si>
  <si>
    <t>Capacity (kg/day )</t>
  </si>
  <si>
    <t>Linde</t>
  </si>
  <si>
    <t>Year Opened</t>
  </si>
  <si>
    <t>Capacity (MSCF/day)</t>
  </si>
  <si>
    <t>Web Link</t>
  </si>
  <si>
    <t>Source #</t>
  </si>
  <si>
    <t>Source Description</t>
  </si>
  <si>
    <t>Antwerp</t>
  </si>
  <si>
    <t>Country</t>
  </si>
  <si>
    <r>
      <t xml:space="preserve">Hydrogen Analysis Resource Center:  </t>
    </r>
    <r>
      <rPr>
        <b/>
        <i/>
        <sz val="12"/>
        <rFont val="Arial"/>
        <family val="2"/>
      </rPr>
      <t xml:space="preserve">Merchant Liquid and Compressed Gas Hydrogen Production Capacity in Europe by Company and Location </t>
    </r>
  </si>
  <si>
    <t>http://www.airliquide.com/en/press/press-releases/air-liquide-doubles-its-hydrogen-production-capacity-in-antwerp.html</t>
  </si>
  <si>
    <t>Air Liquide press release</t>
  </si>
  <si>
    <t>Belgium</t>
  </si>
  <si>
    <r>
      <t>Capacity (Nm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/hr)</t>
    </r>
  </si>
  <si>
    <t>http://www.airliquide.com/file/otherelementcontent/pj/smr%20priolo%20eng4615.pdf</t>
  </si>
  <si>
    <t>Italy</t>
  </si>
  <si>
    <t>http://www.linde.com/international/web/linde/like35lindecom.nsf/docbyalias/hugin_1010631</t>
  </si>
  <si>
    <t>Linde press release</t>
  </si>
  <si>
    <t>Leuna</t>
  </si>
  <si>
    <t>Germany</t>
  </si>
  <si>
    <t>http://www.linde.com/international/web/linde/like35lindecom.nsf/docbyalias/hugin_971918</t>
  </si>
  <si>
    <t>Dormagen</t>
  </si>
  <si>
    <t>http://www.linde.com/international/web/linde/like35lindecom.nsf/docbyalias/boc_1157485719150</t>
  </si>
  <si>
    <t>BOC press release</t>
  </si>
  <si>
    <t>http://www.linde.com/international/web/linde/like35lindecom.nsf/docbyalias/news_b8fc5dd8</t>
  </si>
  <si>
    <t>Luena</t>
  </si>
  <si>
    <t>Middlesbrough</t>
  </si>
  <si>
    <t>Kazincbarcika</t>
  </si>
  <si>
    <t>Hungary</t>
  </si>
  <si>
    <t>http://www.linde.com/international/web/linde/like35lindecom.nsf/docbyalias/news_1e80129c</t>
  </si>
  <si>
    <t>http://www.linde.com/international/web/linde/like35lindecom.nsf/docbyalias/boc_1157485718131</t>
  </si>
  <si>
    <t>Trostre</t>
  </si>
  <si>
    <t>http://www.linde.com/international/web/linde/like35lindecom.nsf/docbyalias/boc_11574857122</t>
  </si>
  <si>
    <t>St. Helens</t>
  </si>
  <si>
    <t>http://www.linde.com/international/web/linde/like35lindecom.nsf/docbyalias/boc_1157485741105</t>
  </si>
  <si>
    <t>http://www.airproducts.com/PressRoom/CompanyNews/Archived/2003/03265_15Sept03.htm</t>
  </si>
  <si>
    <t>Air Products press release</t>
  </si>
  <si>
    <t>Cressier</t>
  </si>
  <si>
    <t>Switzerland</t>
  </si>
  <si>
    <t>Mantova</t>
  </si>
  <si>
    <t>Tarragona</t>
  </si>
  <si>
    <t>Spain</t>
  </si>
  <si>
    <t>Llanwern</t>
  </si>
  <si>
    <t>http://www.chemweek.com/search/?query=hydrogen+plant&amp;sortby=r&amp;skp=60</t>
  </si>
  <si>
    <t>France</t>
  </si>
  <si>
    <t>Puertollano</t>
  </si>
  <si>
    <t>Chemical Week</t>
  </si>
  <si>
    <t>Fos</t>
  </si>
  <si>
    <t>http://www.chemweek.com/search/?query=hydrogen+plant&amp;sortby=r&amp;skp=80</t>
  </si>
  <si>
    <t>Port Jerome</t>
  </si>
  <si>
    <t>http://www.chemweek.com/search/?query=hydrogen+plant&amp;sortby=r&amp;skp=120</t>
  </si>
  <si>
    <t>Mulhouse</t>
  </si>
  <si>
    <t>http://www.topsoe.com/News/News/2005/2005-01-25%2050000%20Nm3hr%20hydrogen%20plant%20France.aspx</t>
  </si>
  <si>
    <t>Haldor-Topsoe</t>
  </si>
  <si>
    <t>La Coruna</t>
  </si>
  <si>
    <r>
      <t xml:space="preserve">Cryogas International </t>
    </r>
    <r>
      <rPr>
        <sz val="10"/>
        <rFont val="Arial"/>
        <family val="2"/>
      </rPr>
      <t xml:space="preserve"> May 2003</t>
    </r>
  </si>
  <si>
    <t>Netherlands</t>
  </si>
  <si>
    <t>http://www.ika.rwth-aachen.de/r2h/index.php/European_Hydrogen_Infrastructure_and_Production</t>
  </si>
  <si>
    <t>19,20</t>
  </si>
  <si>
    <t>3,20</t>
  </si>
  <si>
    <t>Roads2Hy.com</t>
  </si>
  <si>
    <t xml:space="preserve">Bergen-op-Zoom </t>
  </si>
  <si>
    <t>Dunkerque</t>
  </si>
  <si>
    <t>Feluy</t>
  </si>
  <si>
    <t>Terneuzen</t>
  </si>
  <si>
    <t>Herzogenburg</t>
  </si>
  <si>
    <t>Gumpoldskirchen</t>
  </si>
  <si>
    <t>Austria</t>
  </si>
  <si>
    <t>Linz</t>
  </si>
  <si>
    <t>Litvinov</t>
  </si>
  <si>
    <t>Czech Republic</t>
  </si>
  <si>
    <t>Lulsdorf</t>
  </si>
  <si>
    <t>Bottrup</t>
  </si>
  <si>
    <t>Offstein</t>
  </si>
  <si>
    <t>Nunchritz</t>
  </si>
  <si>
    <t>Bitterfield</t>
  </si>
  <si>
    <t>6,20</t>
  </si>
  <si>
    <t>Brunsbuttel</t>
  </si>
  <si>
    <t>Bernburg</t>
  </si>
  <si>
    <t>Jenna</t>
  </si>
  <si>
    <t>Aitrach-Marstetten</t>
  </si>
  <si>
    <t>Ingolstadt</t>
  </si>
  <si>
    <t>Burghausen</t>
  </si>
  <si>
    <t>Bremen</t>
  </si>
  <si>
    <t>Stade</t>
  </si>
  <si>
    <t>15,20</t>
  </si>
  <si>
    <t>Aviles</t>
  </si>
  <si>
    <t>Gajano</t>
  </si>
  <si>
    <t>http://www.cryogas.com/node/7</t>
  </si>
  <si>
    <t>Aragonesas Industrias</t>
  </si>
  <si>
    <t>Hernani</t>
  </si>
  <si>
    <t>13,20</t>
  </si>
  <si>
    <t>Berga</t>
  </si>
  <si>
    <t>11,20</t>
  </si>
  <si>
    <t>Sevilla</t>
  </si>
  <si>
    <t>Oy Woikoski</t>
  </si>
  <si>
    <t>Espoo</t>
  </si>
  <si>
    <t>Finland</t>
  </si>
  <si>
    <t>Raiso</t>
  </si>
  <si>
    <t>Voikoski</t>
  </si>
  <si>
    <t>Saint Leu d'Esserent</t>
  </si>
  <si>
    <t>Oxygene de Picardie</t>
  </si>
  <si>
    <t>Pont de Metz</t>
  </si>
  <si>
    <t>16,18,20</t>
  </si>
  <si>
    <t>Gueugnon</t>
  </si>
  <si>
    <t>Chalampe</t>
  </si>
  <si>
    <t>Lacq</t>
  </si>
  <si>
    <t>Le Pont de Claix</t>
  </si>
  <si>
    <t>Saint Fons</t>
  </si>
  <si>
    <t>Lavera</t>
  </si>
  <si>
    <t>12,20</t>
  </si>
  <si>
    <t>Greece</t>
  </si>
  <si>
    <t>Mandra</t>
  </si>
  <si>
    <t>7,20</t>
  </si>
  <si>
    <t>Dublin</t>
  </si>
  <si>
    <t>Ireland</t>
  </si>
  <si>
    <t>Venaria-Reale</t>
  </si>
  <si>
    <t>Pieve Vergonte</t>
  </si>
  <si>
    <t xml:space="preserve">SOL </t>
  </si>
  <si>
    <t>Cuneo</t>
  </si>
  <si>
    <t>SIAD</t>
  </si>
  <si>
    <t>Novi Ligure</t>
  </si>
  <si>
    <t>Ansaldo</t>
  </si>
  <si>
    <t>Genova</t>
  </si>
  <si>
    <t>Osio Sopra</t>
  </si>
  <si>
    <t>Ravenna</t>
  </si>
  <si>
    <t>Pisa</t>
  </si>
  <si>
    <t>Api Energia</t>
  </si>
  <si>
    <t>Falconnara Marittima</t>
  </si>
  <si>
    <t>Salerno</t>
  </si>
  <si>
    <t>Praxair (Rivoira)</t>
  </si>
  <si>
    <t>Air Products (Sapio)</t>
  </si>
  <si>
    <t>Ferrandina</t>
  </si>
  <si>
    <t>Milazzo</t>
  </si>
  <si>
    <t>2,20</t>
  </si>
  <si>
    <t>Petrochemia Plock</t>
  </si>
  <si>
    <t>Plock</t>
  </si>
  <si>
    <t>Poland</t>
  </si>
  <si>
    <t>Estarreja</t>
  </si>
  <si>
    <t>Portugal</t>
  </si>
  <si>
    <t>Lisboa</t>
  </si>
  <si>
    <t>Sweden</t>
  </si>
  <si>
    <t>Fagersta</t>
  </si>
  <si>
    <t>Halmstad</t>
  </si>
  <si>
    <t>Others</t>
  </si>
  <si>
    <t>5,20</t>
  </si>
  <si>
    <t xml:space="preserve">Wilton </t>
  </si>
  <si>
    <t>Sandbach</t>
  </si>
  <si>
    <t>9,10,20</t>
  </si>
  <si>
    <t>Castleford</t>
  </si>
  <si>
    <t>Purfleet</t>
  </si>
  <si>
    <t>Margam</t>
  </si>
  <si>
    <t>Barry</t>
  </si>
  <si>
    <t>Dairy</t>
  </si>
  <si>
    <t>Massongex</t>
  </si>
  <si>
    <t>Domdidier</t>
  </si>
  <si>
    <t>Reykjavik</t>
  </si>
  <si>
    <t>Iceland</t>
  </si>
  <si>
    <t>Norsk Hydro</t>
  </si>
  <si>
    <t>Rjukan</t>
  </si>
  <si>
    <t>Norway</t>
  </si>
  <si>
    <t>1,20</t>
  </si>
  <si>
    <t>Waziers</t>
  </si>
  <si>
    <t>http://www.iphe.net/docs/Meetings/France_1-05/Air-Liquide.pdf</t>
  </si>
  <si>
    <t>Air Liquide presentation January 2005</t>
  </si>
  <si>
    <t>http://www.ecologie.gouv.fr/IMG/pdf/nicolas_perrin_airliquide.pdf</t>
  </si>
  <si>
    <t>Air Liquide presentation March 2007</t>
  </si>
  <si>
    <t>http://www.airliquide.com/file/otherelement/pj/press_kit_challenge_bibendum_66253.pdf</t>
  </si>
  <si>
    <t>19,20,23</t>
  </si>
  <si>
    <t>Air Liquide and Hydrogen; Vector of New Energy</t>
  </si>
  <si>
    <t>http://books.google.com/books?id=WNgMjEFCf2QC&amp;pg=PA238&amp;lpg=PA238&amp;dq=Air+liquide+charleroi+belgium+hydrogen+plant&amp;source=bl&amp;ots=tU2WNZonf5&amp;sig=te1k3EYn0XP03FbeP2hpBbCMIW8&amp;hl=en&amp;ei=lDCfSbSKKoimtgOr5rzaDQ&amp;sa=X&amp;oi=book_result&amp;resnum=4&amp;ct=result#PPA238,M1</t>
  </si>
  <si>
    <t>History of Industrial Gases; Ebbe  Almqvist  2003</t>
  </si>
  <si>
    <t>http://www.senternovem.nl/mmfiles/Hydrogen%20and%20Fuel%20Cells%20in%20The%20Netherlands%20november%202005_tcm24-174397.pdf</t>
  </si>
  <si>
    <t>Hydrogen and Fuel Cells in the Netherlands November 2005</t>
  </si>
  <si>
    <t>Borlange</t>
  </si>
  <si>
    <t>http://www.icis.com/Articles/2008/10/08/9163027/Linde-expands-hydrogen-capacity.html</t>
  </si>
  <si>
    <t>ICIS.com</t>
  </si>
  <si>
    <t>http://www.airliquide.com/en/investment-of-world-scale-hydrogen-unit-to-serve-rotterdam-antwerp-basin.html</t>
  </si>
  <si>
    <t>http://www.globalccsinstitute.com/projects/12706</t>
  </si>
  <si>
    <t>Global CCS Institute press release</t>
  </si>
  <si>
    <t>http://www.roads2hy.com/pub_database.html</t>
  </si>
  <si>
    <t>Serbia</t>
  </si>
  <si>
    <t>Slovakia</t>
  </si>
  <si>
    <t xml:space="preserve">Messer </t>
  </si>
  <si>
    <t>Messer</t>
  </si>
  <si>
    <t>Messer Group Presentation: Gases for Life May 2011</t>
  </si>
  <si>
    <t>http://www.messergroup.cn/info/down/Messer%20Group%20presentation%202011%20EN.pdf</t>
  </si>
  <si>
    <t>Worms</t>
  </si>
  <si>
    <t>http://www.messergroup.com/de/Presse/wpresse/presse_2003/Auftrag_von_Suedzucker/index.html?iLangID=1</t>
  </si>
  <si>
    <t>Messer Press Release October 12, 2003</t>
  </si>
  <si>
    <t>Lensburg</t>
  </si>
  <si>
    <t>Pancevo</t>
  </si>
  <si>
    <t>30,32</t>
  </si>
  <si>
    <t>Bratislava</t>
  </si>
  <si>
    <t>Budapest</t>
  </si>
  <si>
    <t>Varpolata</t>
  </si>
  <si>
    <t>http://www.messergroup.com/ee/Locations/weltkarte_en_direktnavi.swf</t>
  </si>
  <si>
    <t>Messer Group web site</t>
  </si>
  <si>
    <t>Ludwigshafen</t>
  </si>
  <si>
    <t>http://linde.online-report.eu/2007/ar/lindefinancialreport/groupmanagementreport/thelindegroup/engineeringdivision/hydrogenandsynthesisgasplants.html</t>
  </si>
  <si>
    <t>Linde Group Management Report</t>
  </si>
  <si>
    <t>Taranto</t>
  </si>
  <si>
    <t>Cartagena</t>
  </si>
  <si>
    <t>Huelva</t>
  </si>
  <si>
    <t>Weissenstein</t>
  </si>
  <si>
    <t>http://www.fuelcelltoday.com/news-events/news-archive/2013/june/first-hydrogen-from-eon-power-to-gas-plant-injected-into-the-natural-gas-grid</t>
  </si>
  <si>
    <t>E.ON press release cited by FuelCellToday</t>
  </si>
  <si>
    <t>http://www.fuelcelltoday.com/media/1871508/water_electrolysis___renewable_energy_systems.pdf</t>
  </si>
  <si>
    <t>FuelCellToday Water Electrolysis report May 2013</t>
  </si>
  <si>
    <t>EWE</t>
  </si>
  <si>
    <t>Werlte</t>
  </si>
  <si>
    <t>FuelCellToday</t>
  </si>
  <si>
    <t>http://www.fuelcelltoday.com/news-events/news-archive/2013/november/air-products-replaces-icl-in-afc-energy%e2%80%99s-power-up-project</t>
  </si>
  <si>
    <t>Air Products and Technip Brochure</t>
  </si>
  <si>
    <t>http://www.airproducts.com/~/media/downloads/brochure/H/en-h2-alliance-brochure-338-07-045-GLB.pdf</t>
  </si>
  <si>
    <t>11,37</t>
  </si>
  <si>
    <t>http://www.h2alliance.com/pdf/Final%20_H2Alliance_DS_1-22-13.pdf</t>
  </si>
  <si>
    <t>25,38</t>
  </si>
  <si>
    <t>Technip Hydrogen Plant Reference List</t>
  </si>
  <si>
    <t>Tecnimont Hydrogen Plant Reference List</t>
  </si>
  <si>
    <t>http://www.kt-met.com/en/business/hydrogen-syngas-technology/hydrogen-may-2013</t>
  </si>
  <si>
    <t>20,40</t>
  </si>
  <si>
    <t>http://www.technip.com/sites/default/files/technip/field_activity/key_contracts_attachment/Nov_8_REFERENCE_LIST_FOR_HYDROGEN.pdf</t>
  </si>
  <si>
    <t>Novaky</t>
  </si>
  <si>
    <t>http://www.airproducts.com/company/news-center/2008/10/1015-air-products-announces-investments-in-europe.aspx</t>
  </si>
  <si>
    <t>pre-2008</t>
  </si>
  <si>
    <t>20,41</t>
  </si>
  <si>
    <t>Porto Maghera</t>
  </si>
  <si>
    <t>Air Products presentation, Tonnage Hydrogen Supply</t>
  </si>
  <si>
    <t>http://www.airproducts.com/microsite/h2-pipeline/pdf/hydrogen-capabilities-overview-072512.pdf</t>
  </si>
  <si>
    <t>20,42</t>
  </si>
  <si>
    <t>Mantova II</t>
  </si>
  <si>
    <t>Piombino</t>
  </si>
  <si>
    <t>Rotterdam/Pernis</t>
  </si>
  <si>
    <t>Rotterdam/Botlek</t>
  </si>
  <si>
    <t>http://www.portofrotterdam.com/en/brochures/energy-port-magazine.pdf</t>
  </si>
  <si>
    <t>Rotterdam/Rozenberg</t>
  </si>
  <si>
    <t>39,43</t>
  </si>
  <si>
    <t>Port of Rotterdam Brochure, Rotterdam Energy Port</t>
  </si>
  <si>
    <t>Fos sur Mer</t>
  </si>
  <si>
    <t>Zurzach</t>
  </si>
  <si>
    <t>Amsterdam</t>
  </si>
  <si>
    <t>UK, Wales</t>
  </si>
  <si>
    <t>UK, England</t>
  </si>
  <si>
    <t>DSM</t>
  </si>
  <si>
    <t>Geleen</t>
  </si>
  <si>
    <t>ELNOSA</t>
  </si>
  <si>
    <t>Marisma de Lourizan</t>
  </si>
  <si>
    <t>Gas de Portugal</t>
  </si>
  <si>
    <t>Sabic Europe</t>
  </si>
  <si>
    <t>Farrandina</t>
  </si>
  <si>
    <t>Denmark</t>
  </si>
  <si>
    <t>Klampenborg</t>
  </si>
  <si>
    <t>Westfalen Chemie</t>
  </si>
  <si>
    <t>Salzbergen</t>
  </si>
  <si>
    <t>Skeljungur</t>
  </si>
  <si>
    <t>Rotterdam/Rosenberg</t>
  </si>
  <si>
    <t>References</t>
  </si>
  <si>
    <t>Hamburg</t>
  </si>
  <si>
    <t>Chemical Engineering Magazine, March 2014</t>
  </si>
  <si>
    <t>http://www.chemeng.queensu.ca/courses/CHEE332/files/CEPCI_2014.pdf</t>
  </si>
  <si>
    <t>Helsinki</t>
  </si>
  <si>
    <t>http://www.noodls.com/view/6F285EF85B3B95108F42490E30CB6B761F753FA4?3112xxx1398672528</t>
  </si>
  <si>
    <t>noodls.com</t>
  </si>
  <si>
    <t>Customer</t>
  </si>
  <si>
    <t>Industry</t>
  </si>
  <si>
    <t>Nynas</t>
  </si>
  <si>
    <t>Oil Refining</t>
  </si>
  <si>
    <t>Oberhausen</t>
  </si>
  <si>
    <t>http://www.airliquide.com/en/in-the-spotlight-archives/germany-acquisition-of-a-large-syngas-plant.html</t>
  </si>
  <si>
    <t>Priolo Gargallo</t>
  </si>
  <si>
    <t>ExxonMobil, Shell</t>
  </si>
  <si>
    <t>Petro-Plus</t>
  </si>
  <si>
    <t>Repsol</t>
  </si>
  <si>
    <r>
      <t>Merchant Liquid Hydrogen</t>
    </r>
    <r>
      <rPr>
        <b/>
        <sz val="12"/>
        <color indexed="8"/>
        <rFont val="Arial"/>
        <family val="2"/>
      </rPr>
      <t xml:space="preserve"> </t>
    </r>
  </si>
  <si>
    <t xml:space="preserve">Merchant Compressed Gas Hydrogen  </t>
  </si>
  <si>
    <t>Other</t>
  </si>
  <si>
    <t>AGA Gas</t>
  </si>
  <si>
    <t>Sandviken</t>
  </si>
  <si>
    <t>gasworld</t>
  </si>
  <si>
    <t>http://www.gasworld.com/news/agreement-will-see-construction-of-hydrogen-production-facility-in-sweden/2000343.article</t>
  </si>
  <si>
    <t>Strandmollen</t>
  </si>
  <si>
    <t>Borsodchem</t>
  </si>
  <si>
    <t>European Hydrogen Association</t>
  </si>
  <si>
    <t>http://www.h2euro.org/2015/hannover-2015-finlands-first-in-large-scale-hydrogen-plants</t>
  </si>
  <si>
    <t>20, 48</t>
  </si>
  <si>
    <t>Bayer</t>
  </si>
  <si>
    <t>Chemical</t>
  </si>
  <si>
    <t>Chemical Engineering Magazine, June 2015</t>
  </si>
  <si>
    <t>http://www.chemengonline.com</t>
  </si>
  <si>
    <t>ExxonMobil</t>
  </si>
  <si>
    <t>BASF</t>
  </si>
  <si>
    <t>Copenor GIE</t>
  </si>
  <si>
    <t>Dow</t>
  </si>
  <si>
    <t>Arkema</t>
  </si>
  <si>
    <t>Product</t>
  </si>
  <si>
    <t>HyCO</t>
  </si>
  <si>
    <t>Process</t>
  </si>
  <si>
    <t>H2</t>
  </si>
  <si>
    <t>SMR</t>
  </si>
  <si>
    <t>ATR</t>
  </si>
  <si>
    <t>Air Liquide presentation by Jaap Oldenziel</t>
  </si>
  <si>
    <t>27,28,43,50</t>
  </si>
  <si>
    <t>20,50</t>
  </si>
  <si>
    <t>http://www.deltalinqsenergyforum.nl</t>
  </si>
  <si>
    <t>Byproduct</t>
  </si>
  <si>
    <t>http://www.ipt.ntnu.no/~jsg/undervisning/naturgass/lysark/LysarkBuenger2003.pdf</t>
  </si>
  <si>
    <t>Production of H2 from Natural Gas by Ulrich Bunger, November 2003</t>
  </si>
  <si>
    <t>20,51</t>
  </si>
  <si>
    <t>Linde (BOC)</t>
  </si>
  <si>
    <t>Electrolysis</t>
  </si>
  <si>
    <t>Sandvik</t>
  </si>
  <si>
    <t>ERG Group, Exxon-Mobil</t>
  </si>
  <si>
    <t>Agrolinz Melamin</t>
  </si>
  <si>
    <t>Hurth</t>
  </si>
  <si>
    <t>Byproduct/chlor-alkali</t>
  </si>
  <si>
    <t>Bayer, RWE/Dea</t>
  </si>
  <si>
    <t>Chemical, Oil Refining</t>
  </si>
  <si>
    <t>Sudzucker</t>
  </si>
  <si>
    <t>Wacker Chemie</t>
  </si>
  <si>
    <t>Andernach</t>
  </si>
  <si>
    <t>Minden</t>
  </si>
  <si>
    <t>Byproduct/refinery syngas</t>
  </si>
  <si>
    <t>Solvay Interox</t>
  </si>
  <si>
    <t>Schott</t>
  </si>
  <si>
    <t xml:space="preserve">Stahlwerk </t>
  </si>
  <si>
    <t>Pox</t>
  </si>
  <si>
    <t>POx</t>
  </si>
  <si>
    <t>Dynasol</t>
  </si>
  <si>
    <t>DuPont</t>
  </si>
  <si>
    <t>Metals</t>
  </si>
  <si>
    <t>Butachimie</t>
  </si>
  <si>
    <t>Rhodia</t>
  </si>
  <si>
    <t>Italia Energia</t>
  </si>
  <si>
    <t>San Salvo</t>
  </si>
  <si>
    <t>Raffineria</t>
  </si>
  <si>
    <t>Cantania</t>
  </si>
  <si>
    <t>Byproduct/refinery gas</t>
  </si>
  <si>
    <t>Lyondell, Exxon</t>
  </si>
  <si>
    <t>Quimigal</t>
  </si>
  <si>
    <t>Stenungsund</t>
  </si>
  <si>
    <t>Huntsman</t>
  </si>
  <si>
    <t>Chemicals</t>
  </si>
  <si>
    <t>Pilkington</t>
  </si>
  <si>
    <t>Glass</t>
  </si>
  <si>
    <t>Roche</t>
  </si>
  <si>
    <t>Greenock</t>
  </si>
  <si>
    <t>UK</t>
  </si>
  <si>
    <t>Electronics</t>
  </si>
  <si>
    <t>National Semiconductor</t>
  </si>
  <si>
    <t xml:space="preserve">Sauerstoffwerk </t>
  </si>
  <si>
    <t>Byproduct/ethylene</t>
  </si>
  <si>
    <t>Multiple</t>
  </si>
  <si>
    <t>Lenzburg</t>
  </si>
  <si>
    <t>Funen</t>
  </si>
  <si>
    <t>DuPont, ICI</t>
  </si>
  <si>
    <t>Vehicle Fueling</t>
  </si>
  <si>
    <t>Kinetics Technology</t>
  </si>
  <si>
    <t>http://www.kt-met.com/en/business/hydrogen-syngas-technology/hydrogen-january-2015</t>
  </si>
  <si>
    <t>Sapio (Green Gas)</t>
  </si>
  <si>
    <t>Visp</t>
  </si>
  <si>
    <t>Sauerstoffwerk (Messer)</t>
  </si>
  <si>
    <t>Winterthur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</si>
</sst>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5">
    <xf numFmtId="0" fontId="0" fillId="0" borderId="0" xfId="0"/>
    <xf numFmtId="0" fontId="7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1" fillId="0" borderId="0" xfId="0" applyNumberFormat="1" applyFont="1" applyBorder="1" applyAlignment="1">
      <alignment horizontal="right" vertical="top" wrapText="1"/>
    </xf>
    <xf numFmtId="3" fontId="1" fillId="2" borderId="0" xfId="0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right" vertical="top" wrapText="1"/>
    </xf>
    <xf numFmtId="0" fontId="2" fillId="0" borderId="0" xfId="0" applyFont="1"/>
    <xf numFmtId="0" fontId="4" fillId="0" borderId="0" xfId="1" applyAlignment="1" applyProtection="1"/>
    <xf numFmtId="0" fontId="2" fillId="0" borderId="0" xfId="0" applyFont="1" applyFill="1" applyBorder="1" applyAlignment="1">
      <alignment horizontal="center" vertical="top"/>
    </xf>
    <xf numFmtId="3" fontId="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1" applyFill="1" applyAlignment="1" applyProtection="1"/>
    <xf numFmtId="164" fontId="0" fillId="0" borderId="0" xfId="0" applyNumberFormat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 vertical="top" wrapText="1"/>
    </xf>
    <xf numFmtId="0" fontId="0" fillId="2" borderId="3" xfId="0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2" xfId="0" applyFill="1" applyBorder="1" applyAlignment="1"/>
    <xf numFmtId="0" fontId="0" fillId="0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0" fontId="0" fillId="0" borderId="7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quotePrefix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0" fontId="14" fillId="0" borderId="0" xfId="0" applyFont="1"/>
    <xf numFmtId="1" fontId="0" fillId="0" borderId="0" xfId="0" applyNumberFormat="1" applyBorder="1"/>
    <xf numFmtId="1" fontId="0" fillId="0" borderId="0" xfId="0" applyNumberFormat="1" applyFill="1" applyBorder="1"/>
    <xf numFmtId="0" fontId="0" fillId="0" borderId="1" xfId="0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0" fontId="1" fillId="0" borderId="7" xfId="0" applyFont="1" applyBorder="1"/>
    <xf numFmtId="0" fontId="0" fillId="0" borderId="0" xfId="0" applyFont="1" applyFill="1"/>
    <xf numFmtId="0" fontId="1" fillId="0" borderId="0" xfId="0" applyFont="1" applyFill="1" applyBorder="1" applyAlignment="1">
      <alignment horizontal="center"/>
    </xf>
    <xf numFmtId="0" fontId="0" fillId="0" borderId="7" xfId="0" applyFill="1" applyBorder="1"/>
    <xf numFmtId="0" fontId="0" fillId="0" borderId="1" xfId="0" applyFill="1" applyBorder="1" applyAlignment="1">
      <alignment horizontal="center"/>
    </xf>
    <xf numFmtId="0" fontId="1" fillId="0" borderId="7" xfId="0" applyFont="1" applyFill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2" applyNumberFormat="1" applyFont="1" applyFill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5" fontId="2" fillId="0" borderId="0" xfId="2" applyNumberFormat="1" applyFont="1" applyFill="1"/>
    <xf numFmtId="9" fontId="0" fillId="0" borderId="0" xfId="3" applyFont="1" applyAlignment="1">
      <alignment horizontal="right" inden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8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www.chemengonline.com/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airproducts.com/microsite/h2-pipeline/pdf/hydrogen-capabilities-overview-072512.pdf" TargetMode="External"/><Relationship Id="rId1" Type="http://schemas.openxmlformats.org/officeDocument/2006/relationships/hyperlink" Target="http://www.linde.com/international/web/linde/like35lindecom.nsf/docbyalias/hugin_971918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iphe.net/docs/Meetings/France_1-05/Air-Liquide.pdf" TargetMode="External"/><Relationship Id="rId4" Type="http://schemas.openxmlformats.org/officeDocument/2006/relationships/hyperlink" Target="http://www.deltalinqsenergyforum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27"/>
  <sheetViews>
    <sheetView tabSelected="1" zoomScaleNormal="100" workbookViewId="0">
      <pane ySplit="3" topLeftCell="A160" activePane="bottomLeft" state="frozen"/>
      <selection pane="bottomLeft" activeCell="D190" sqref="D190"/>
    </sheetView>
  </sheetViews>
  <sheetFormatPr defaultRowHeight="12.75" x14ac:dyDescent="0.2"/>
  <cols>
    <col min="1" max="1" width="26.7109375" customWidth="1"/>
    <col min="2" max="2" width="19.5703125" customWidth="1"/>
    <col min="3" max="7" width="13.7109375" customWidth="1"/>
    <col min="8" max="8" width="10.7109375" customWidth="1"/>
    <col min="9" max="9" width="12.7109375" style="3" customWidth="1"/>
    <col min="10" max="10" width="10.7109375" customWidth="1"/>
    <col min="11" max="11" width="14" style="27" customWidth="1"/>
    <col min="12" max="12" width="11" style="4" customWidth="1"/>
  </cols>
  <sheetData>
    <row r="1" spans="1:12" s="1" customFormat="1" ht="47.25" customHeight="1" thickBot="1" x14ac:dyDescent="0.25">
      <c r="A1" s="89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12" ht="13.5" thickBo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s="2" customFormat="1" ht="44.25" customHeight="1" thickBot="1" x14ac:dyDescent="0.25">
      <c r="A3" s="23" t="s">
        <v>3</v>
      </c>
      <c r="B3" s="24" t="s">
        <v>5</v>
      </c>
      <c r="C3" s="25" t="s">
        <v>16</v>
      </c>
      <c r="D3" s="25" t="s">
        <v>305</v>
      </c>
      <c r="E3" s="25" t="s">
        <v>303</v>
      </c>
      <c r="F3" s="25" t="s">
        <v>272</v>
      </c>
      <c r="G3" s="25" t="s">
        <v>273</v>
      </c>
      <c r="H3" s="25" t="s">
        <v>21</v>
      </c>
      <c r="I3" s="25" t="s">
        <v>11</v>
      </c>
      <c r="J3" s="25" t="s">
        <v>8</v>
      </c>
      <c r="K3" s="25" t="s">
        <v>265</v>
      </c>
      <c r="L3" s="26" t="s">
        <v>10</v>
      </c>
    </row>
    <row r="4" spans="1:12" s="2" customFormat="1" ht="15" customHeight="1" x14ac:dyDescent="0.2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3"/>
    </row>
    <row r="5" spans="1:12" ht="15.75" x14ac:dyDescent="0.25">
      <c r="A5" s="92" t="s">
        <v>282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4"/>
    </row>
    <row r="6" spans="1:12" s="13" customFormat="1" x14ac:dyDescent="0.2">
      <c r="A6" s="36"/>
      <c r="B6" s="37"/>
      <c r="C6" s="37"/>
      <c r="D6" s="37"/>
      <c r="E6" s="37"/>
      <c r="F6" s="37"/>
      <c r="G6" s="37"/>
      <c r="H6" s="38"/>
      <c r="I6" s="38"/>
      <c r="J6" s="38"/>
      <c r="K6" s="39"/>
      <c r="L6" s="19"/>
    </row>
    <row r="7" spans="1:12" s="13" customFormat="1" x14ac:dyDescent="0.2">
      <c r="A7" s="36" t="s">
        <v>7</v>
      </c>
      <c r="B7" s="37" t="s">
        <v>170</v>
      </c>
      <c r="C7" s="37" t="s">
        <v>52</v>
      </c>
      <c r="D7" s="48" t="s">
        <v>307</v>
      </c>
      <c r="E7" s="47" t="s">
        <v>306</v>
      </c>
      <c r="F7" s="37"/>
      <c r="G7" s="37"/>
      <c r="H7" s="38">
        <f>I7*1000/24/3.2808^3*273.15/288.706</f>
        <v>4864.1801122452525</v>
      </c>
      <c r="I7" s="38">
        <f>J7*2.2046/2.016*0.7302*519.69/1000</f>
        <v>4357.2729204937505</v>
      </c>
      <c r="J7" s="38">
        <v>10500</v>
      </c>
      <c r="K7" s="32" t="s">
        <v>176</v>
      </c>
      <c r="L7" s="19">
        <v>1987</v>
      </c>
    </row>
    <row r="8" spans="1:12" s="13" customFormat="1" x14ac:dyDescent="0.2">
      <c r="A8" s="36" t="s">
        <v>4</v>
      </c>
      <c r="B8" s="63" t="s">
        <v>264</v>
      </c>
      <c r="C8" s="37" t="s">
        <v>64</v>
      </c>
      <c r="D8" s="48" t="s">
        <v>307</v>
      </c>
      <c r="E8" s="47" t="s">
        <v>306</v>
      </c>
      <c r="F8" s="37"/>
      <c r="G8" s="37"/>
      <c r="H8" s="38">
        <f>I8*1000/24/3.2808^3*273.15/288.706</f>
        <v>2501.5783434404157</v>
      </c>
      <c r="I8" s="38">
        <f>J8*2.2046/2.016*0.7302*519.69/1000</f>
        <v>2240.8832162539288</v>
      </c>
      <c r="J8" s="38">
        <v>5400</v>
      </c>
      <c r="K8" s="32" t="s">
        <v>66</v>
      </c>
      <c r="L8" s="19">
        <v>1990</v>
      </c>
    </row>
    <row r="9" spans="1:12" x14ac:dyDescent="0.2">
      <c r="A9" s="36" t="s">
        <v>9</v>
      </c>
      <c r="B9" s="37" t="s">
        <v>89</v>
      </c>
      <c r="C9" s="37" t="s">
        <v>27</v>
      </c>
      <c r="D9" s="48" t="s">
        <v>307</v>
      </c>
      <c r="E9" s="47" t="s">
        <v>306</v>
      </c>
      <c r="F9" s="37"/>
      <c r="G9" s="37"/>
      <c r="H9" s="38">
        <f>I9*1000/24/3.2808^3*273.15/288.706</f>
        <v>2038.323094655153</v>
      </c>
      <c r="I9" s="38">
        <f>J9*2.2046/2.016*0.7302*519.69/1000</f>
        <v>1825.9048428735714</v>
      </c>
      <c r="J9" s="38">
        <v>4400</v>
      </c>
      <c r="K9" s="32" t="s">
        <v>66</v>
      </c>
      <c r="L9" s="19">
        <v>1992</v>
      </c>
    </row>
    <row r="10" spans="1:12" x14ac:dyDescent="0.2">
      <c r="A10" s="36" t="s">
        <v>9</v>
      </c>
      <c r="B10" s="37" t="s">
        <v>26</v>
      </c>
      <c r="C10" s="37" t="s">
        <v>27</v>
      </c>
      <c r="D10" s="48" t="s">
        <v>307</v>
      </c>
      <c r="E10" s="48" t="s">
        <v>306</v>
      </c>
      <c r="F10" s="37"/>
      <c r="G10" s="37"/>
      <c r="H10" s="38">
        <f>I10*1000/24/3.2808^3*273.15/288.706</f>
        <v>2640.554918075994</v>
      </c>
      <c r="I10" s="38">
        <f>J10*2.2046/2.016*0.7302*519.69/1000</f>
        <v>2365.3767282680355</v>
      </c>
      <c r="J10" s="38">
        <v>5700</v>
      </c>
      <c r="K10" s="32" t="s">
        <v>67</v>
      </c>
      <c r="L10" s="19">
        <v>2007</v>
      </c>
    </row>
    <row r="11" spans="1:12" x14ac:dyDescent="0.2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29"/>
      <c r="L11" s="19"/>
    </row>
    <row r="12" spans="1:12" x14ac:dyDescent="0.2">
      <c r="A12" s="87" t="s">
        <v>0</v>
      </c>
      <c r="B12" s="88"/>
      <c r="C12" s="88"/>
      <c r="D12" s="77"/>
      <c r="E12" s="77"/>
      <c r="F12" s="68"/>
      <c r="G12" s="68"/>
      <c r="H12" s="6">
        <f>SUM(H6:H11)</f>
        <v>12044.636468416815</v>
      </c>
      <c r="I12" s="6">
        <f>SUM(I6:I11)</f>
        <v>10789.437707889287</v>
      </c>
      <c r="J12" s="6">
        <f>SUM(J6:J11)</f>
        <v>26000</v>
      </c>
      <c r="K12" s="28"/>
      <c r="L12" s="20"/>
    </row>
    <row r="13" spans="1:12" x14ac:dyDescent="0.2">
      <c r="A13" s="85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104"/>
    </row>
    <row r="14" spans="1:12" ht="15.75" x14ac:dyDescent="0.2">
      <c r="A14" s="95" t="s">
        <v>283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2" x14ac:dyDescent="0.2">
      <c r="A15" s="36" t="s">
        <v>285</v>
      </c>
      <c r="B15" s="37" t="s">
        <v>55</v>
      </c>
      <c r="C15" s="37" t="s">
        <v>52</v>
      </c>
      <c r="D15" s="37"/>
      <c r="E15" s="37"/>
      <c r="F15" s="37"/>
      <c r="G15" s="37"/>
      <c r="H15" s="37">
        <v>900</v>
      </c>
      <c r="I15" s="38">
        <f>H15*24*3.2808^3*288.705/273.15/1000</f>
        <v>806.20617550570489</v>
      </c>
      <c r="J15" s="34">
        <f>I15/0.7302/519.69*2.016/2.2046*1000</f>
        <v>1942.7667252595829</v>
      </c>
      <c r="K15" s="57">
        <v>14</v>
      </c>
      <c r="L15" s="19">
        <v>1999</v>
      </c>
    </row>
    <row r="16" spans="1:12" x14ac:dyDescent="0.2">
      <c r="A16" s="36" t="s">
        <v>285</v>
      </c>
      <c r="B16" s="37" t="s">
        <v>286</v>
      </c>
      <c r="C16" s="37" t="s">
        <v>149</v>
      </c>
      <c r="D16" s="48" t="s">
        <v>318</v>
      </c>
      <c r="E16" s="48" t="s">
        <v>306</v>
      </c>
      <c r="F16" s="48" t="s">
        <v>319</v>
      </c>
      <c r="G16" s="48" t="s">
        <v>338</v>
      </c>
      <c r="H16" s="37"/>
      <c r="I16" s="38"/>
      <c r="J16" s="34"/>
      <c r="K16" s="70">
        <v>47</v>
      </c>
      <c r="L16" s="71">
        <v>2013</v>
      </c>
    </row>
    <row r="17" spans="1:13" x14ac:dyDescent="0.2">
      <c r="A17" s="52" t="s">
        <v>7</v>
      </c>
      <c r="B17" s="40" t="s">
        <v>15</v>
      </c>
      <c r="C17" s="40" t="s">
        <v>20</v>
      </c>
      <c r="D17" s="48" t="s">
        <v>307</v>
      </c>
      <c r="E17" s="48" t="s">
        <v>306</v>
      </c>
      <c r="F17" s="48" t="s">
        <v>299</v>
      </c>
      <c r="G17" s="48" t="s">
        <v>295</v>
      </c>
      <c r="H17" s="38">
        <v>100000</v>
      </c>
      <c r="I17" s="38">
        <f>H17*24*3.2808^3*288.705/273.15/1000</f>
        <v>89578.463945078329</v>
      </c>
      <c r="J17" s="34">
        <f>I17/0.7302/519.69*2.016/2.2046*1000</f>
        <v>215862.96947328697</v>
      </c>
      <c r="K17" s="32" t="s">
        <v>169</v>
      </c>
      <c r="L17" s="19">
        <v>2003</v>
      </c>
    </row>
    <row r="18" spans="1:13" x14ac:dyDescent="0.2">
      <c r="A18" s="52" t="s">
        <v>7</v>
      </c>
      <c r="B18" s="40" t="s">
        <v>15</v>
      </c>
      <c r="C18" s="40" t="s">
        <v>20</v>
      </c>
      <c r="D18" s="48" t="s">
        <v>307</v>
      </c>
      <c r="E18" s="48" t="s">
        <v>306</v>
      </c>
      <c r="F18" s="48" t="s">
        <v>299</v>
      </c>
      <c r="G18" s="48" t="s">
        <v>295</v>
      </c>
      <c r="H18" s="38">
        <v>100000</v>
      </c>
      <c r="I18" s="38">
        <f>H18*24*3.2808^3*288.705/273.15/1000</f>
        <v>89578.463945078329</v>
      </c>
      <c r="J18" s="34">
        <f>I18/0.7302/519.69*2.016/2.2046*1000</f>
        <v>215862.96947328697</v>
      </c>
      <c r="K18" s="32" t="s">
        <v>169</v>
      </c>
      <c r="L18" s="19">
        <v>2007</v>
      </c>
    </row>
    <row r="19" spans="1:13" x14ac:dyDescent="0.2">
      <c r="A19" s="52" t="s">
        <v>7</v>
      </c>
      <c r="B19" s="40" t="s">
        <v>15</v>
      </c>
      <c r="C19" s="40" t="s">
        <v>20</v>
      </c>
      <c r="D19" s="48" t="s">
        <v>307</v>
      </c>
      <c r="E19" s="48" t="s">
        <v>306</v>
      </c>
      <c r="F19" s="48" t="s">
        <v>299</v>
      </c>
      <c r="G19" s="48" t="s">
        <v>295</v>
      </c>
      <c r="H19" s="38">
        <f>204000/24</f>
        <v>8500</v>
      </c>
      <c r="I19" s="38">
        <f>H19*24*3.2808^3*288.705/273.15/1000</f>
        <v>7614.169435331658</v>
      </c>
      <c r="J19" s="34">
        <f>I19/0.7302/519.69*2.016/2.2046*1000</f>
        <v>18348.352405229391</v>
      </c>
      <c r="K19" s="39">
        <v>20</v>
      </c>
      <c r="L19" s="19"/>
    </row>
    <row r="20" spans="1:13" x14ac:dyDescent="0.2">
      <c r="A20" s="52" t="s">
        <v>7</v>
      </c>
      <c r="B20" s="40" t="s">
        <v>71</v>
      </c>
      <c r="C20" s="40" t="s">
        <v>20</v>
      </c>
      <c r="D20" s="40" t="s">
        <v>313</v>
      </c>
      <c r="E20" s="40" t="s">
        <v>306</v>
      </c>
      <c r="F20" s="40"/>
      <c r="G20" s="40"/>
      <c r="H20" s="38"/>
      <c r="I20" s="38"/>
      <c r="J20" s="34"/>
      <c r="K20" s="39">
        <v>21</v>
      </c>
      <c r="L20" s="19"/>
    </row>
    <row r="21" spans="1:13" x14ac:dyDescent="0.2">
      <c r="A21" s="52" t="s">
        <v>7</v>
      </c>
      <c r="B21" s="40" t="s">
        <v>71</v>
      </c>
      <c r="C21" s="40" t="s">
        <v>20</v>
      </c>
      <c r="D21" s="48" t="s">
        <v>307</v>
      </c>
      <c r="E21" s="48" t="s">
        <v>306</v>
      </c>
      <c r="F21" s="40"/>
      <c r="G21" s="40"/>
      <c r="H21" s="38">
        <f>120000/24</f>
        <v>5000</v>
      </c>
      <c r="I21" s="38">
        <f>H21*24*3.2808^3*288.705/273.15/1000</f>
        <v>4478.9231972539164</v>
      </c>
      <c r="J21" s="34">
        <f>I21/0.7302/519.69*2.016/2.2046*1000</f>
        <v>10793.148473664349</v>
      </c>
      <c r="K21" s="57">
        <v>20</v>
      </c>
      <c r="L21" s="19"/>
    </row>
    <row r="22" spans="1:13" x14ac:dyDescent="0.2">
      <c r="A22" s="52" t="s">
        <v>7</v>
      </c>
      <c r="B22" s="40" t="s">
        <v>71</v>
      </c>
      <c r="C22" s="40" t="s">
        <v>20</v>
      </c>
      <c r="D22" s="48" t="s">
        <v>307</v>
      </c>
      <c r="E22" s="48" t="s">
        <v>306</v>
      </c>
      <c r="F22" s="40"/>
      <c r="G22" s="40"/>
      <c r="H22" s="38">
        <f>120000/24</f>
        <v>5000</v>
      </c>
      <c r="I22" s="38">
        <f>H22*24*3.2808^3*288.705/273.15/1000</f>
        <v>4478.9231972539164</v>
      </c>
      <c r="J22" s="34">
        <f>I22/0.7302/519.69*2.016/2.2046*1000</f>
        <v>10793.148473664349</v>
      </c>
      <c r="K22" s="32">
        <v>20</v>
      </c>
      <c r="L22" s="19"/>
    </row>
    <row r="23" spans="1:13" x14ac:dyDescent="0.2">
      <c r="A23" s="52" t="s">
        <v>7</v>
      </c>
      <c r="B23" s="40" t="s">
        <v>70</v>
      </c>
      <c r="C23" s="40" t="s">
        <v>52</v>
      </c>
      <c r="D23" s="47" t="s">
        <v>359</v>
      </c>
      <c r="E23" s="40" t="s">
        <v>306</v>
      </c>
      <c r="F23" s="48" t="s">
        <v>300</v>
      </c>
      <c r="G23" s="48" t="s">
        <v>295</v>
      </c>
      <c r="H23" s="38"/>
      <c r="I23" s="38"/>
      <c r="J23" s="34"/>
      <c r="K23" s="39">
        <v>20</v>
      </c>
      <c r="L23" s="19"/>
    </row>
    <row r="24" spans="1:13" x14ac:dyDescent="0.2">
      <c r="A24" s="52" t="s">
        <v>7</v>
      </c>
      <c r="B24" s="40" t="s">
        <v>112</v>
      </c>
      <c r="C24" s="40" t="s">
        <v>52</v>
      </c>
      <c r="D24" s="48" t="s">
        <v>307</v>
      </c>
      <c r="E24" s="48" t="s">
        <v>306</v>
      </c>
      <c r="F24" s="40"/>
      <c r="G24" s="47" t="s">
        <v>338</v>
      </c>
      <c r="H24" s="38">
        <f>19000/24</f>
        <v>791.66666666666663</v>
      </c>
      <c r="I24" s="38">
        <f t="shared" ref="I24:I44" si="0">H24*24*3.2808^3*288.705/273.15/1000</f>
        <v>709.1628395652034</v>
      </c>
      <c r="J24" s="34">
        <f t="shared" ref="J24:J44" si="1">I24/0.7302/519.69*2.016/2.2046*1000</f>
        <v>1708.9151749968553</v>
      </c>
      <c r="K24" s="39">
        <v>20</v>
      </c>
      <c r="L24" s="19"/>
    </row>
    <row r="25" spans="1:13" x14ac:dyDescent="0.2">
      <c r="A25" s="52" t="s">
        <v>7</v>
      </c>
      <c r="B25" s="40" t="s">
        <v>114</v>
      </c>
      <c r="C25" s="40" t="s">
        <v>52</v>
      </c>
      <c r="D25" s="48" t="s">
        <v>307</v>
      </c>
      <c r="E25" s="48" t="s">
        <v>306</v>
      </c>
      <c r="F25" s="48" t="s">
        <v>302</v>
      </c>
      <c r="G25" s="48" t="s">
        <v>295</v>
      </c>
      <c r="H25" s="38">
        <f>43000/24</f>
        <v>1791.6666666666667</v>
      </c>
      <c r="I25" s="38">
        <f t="shared" si="0"/>
        <v>1604.9474790159866</v>
      </c>
      <c r="J25" s="34">
        <f t="shared" si="1"/>
        <v>3867.5448697297243</v>
      </c>
      <c r="K25" s="39">
        <v>20</v>
      </c>
      <c r="L25" s="19"/>
    </row>
    <row r="26" spans="1:13" x14ac:dyDescent="0.2">
      <c r="A26" s="52" t="s">
        <v>7</v>
      </c>
      <c r="B26" s="40" t="s">
        <v>117</v>
      </c>
      <c r="C26" s="40" t="s">
        <v>52</v>
      </c>
      <c r="D26" s="47" t="s">
        <v>323</v>
      </c>
      <c r="E26" s="40" t="s">
        <v>306</v>
      </c>
      <c r="F26" s="48" t="s">
        <v>302</v>
      </c>
      <c r="G26" s="48" t="s">
        <v>295</v>
      </c>
      <c r="H26" s="38">
        <v>7792</v>
      </c>
      <c r="I26" s="38">
        <f>H26*24*3.2808^3*288.705/273.15/1000</f>
        <v>6979.9539106005031</v>
      </c>
      <c r="J26" s="34">
        <f>I26/0.7302/519.69*2.016/2.2046*1000</f>
        <v>16820.042581358517</v>
      </c>
      <c r="K26" s="39">
        <v>20</v>
      </c>
      <c r="L26" s="78"/>
    </row>
    <row r="27" spans="1:13" x14ac:dyDescent="0.2">
      <c r="A27" s="52" t="s">
        <v>7</v>
      </c>
      <c r="B27" s="48" t="s">
        <v>117</v>
      </c>
      <c r="C27" s="40" t="s">
        <v>52</v>
      </c>
      <c r="D27" s="40" t="s">
        <v>307</v>
      </c>
      <c r="E27" s="48" t="s">
        <v>306</v>
      </c>
      <c r="F27" s="40"/>
      <c r="G27" s="48" t="s">
        <v>275</v>
      </c>
      <c r="H27" s="38">
        <v>25000</v>
      </c>
      <c r="I27" s="38">
        <f t="shared" si="0"/>
        <v>22394.615986269582</v>
      </c>
      <c r="J27" s="34">
        <f t="shared" si="1"/>
        <v>53965.742368321742</v>
      </c>
      <c r="K27" s="57" t="s">
        <v>118</v>
      </c>
      <c r="L27" s="19">
        <v>2006</v>
      </c>
    </row>
    <row r="28" spans="1:13" x14ac:dyDescent="0.2">
      <c r="A28" s="52" t="s">
        <v>7</v>
      </c>
      <c r="B28" s="40" t="s">
        <v>115</v>
      </c>
      <c r="C28" s="40" t="s">
        <v>52</v>
      </c>
      <c r="D28" s="48" t="s">
        <v>335</v>
      </c>
      <c r="E28" s="48" t="s">
        <v>304</v>
      </c>
      <c r="F28" s="48" t="s">
        <v>340</v>
      </c>
      <c r="G28" s="48" t="s">
        <v>295</v>
      </c>
      <c r="H28" s="38">
        <f>175000/24</f>
        <v>7291.666666666667</v>
      </c>
      <c r="I28" s="38">
        <f t="shared" si="0"/>
        <v>6531.7629959952947</v>
      </c>
      <c r="J28" s="34">
        <f t="shared" si="1"/>
        <v>15740.008190760507</v>
      </c>
      <c r="K28" s="39">
        <v>20</v>
      </c>
      <c r="L28" s="19"/>
    </row>
    <row r="29" spans="1:13" x14ac:dyDescent="0.2">
      <c r="A29" s="52" t="s">
        <v>7</v>
      </c>
      <c r="B29" s="40" t="s">
        <v>115</v>
      </c>
      <c r="C29" s="40" t="s">
        <v>52</v>
      </c>
      <c r="D29" s="48" t="s">
        <v>307</v>
      </c>
      <c r="E29" s="48" t="s">
        <v>306</v>
      </c>
      <c r="F29" s="40"/>
      <c r="G29" s="40"/>
      <c r="H29" s="38">
        <f>72000/24</f>
        <v>3000</v>
      </c>
      <c r="I29" s="38">
        <f t="shared" si="0"/>
        <v>2687.3539183523499</v>
      </c>
      <c r="J29" s="34">
        <f t="shared" si="1"/>
        <v>6475.8890841986095</v>
      </c>
      <c r="K29" s="39">
        <v>20</v>
      </c>
      <c r="L29" s="19"/>
    </row>
    <row r="30" spans="1:13" x14ac:dyDescent="0.2">
      <c r="A30" s="52" t="s">
        <v>7</v>
      </c>
      <c r="B30" s="40" t="s">
        <v>57</v>
      </c>
      <c r="C30" s="40" t="s">
        <v>52</v>
      </c>
      <c r="D30" s="40" t="s">
        <v>307</v>
      </c>
      <c r="E30" s="48" t="s">
        <v>306</v>
      </c>
      <c r="F30" s="48" t="s">
        <v>298</v>
      </c>
      <c r="G30" s="48" t="s">
        <v>275</v>
      </c>
      <c r="H30" s="38">
        <v>50000</v>
      </c>
      <c r="I30" s="38">
        <f t="shared" si="0"/>
        <v>44789.231972539164</v>
      </c>
      <c r="J30" s="34">
        <f t="shared" si="1"/>
        <v>107931.48473664348</v>
      </c>
      <c r="K30" s="57" t="s">
        <v>111</v>
      </c>
      <c r="L30" s="19">
        <v>2005</v>
      </c>
    </row>
    <row r="31" spans="1:13" x14ac:dyDescent="0.2">
      <c r="A31" s="52" t="s">
        <v>7</v>
      </c>
      <c r="B31" s="40" t="s">
        <v>116</v>
      </c>
      <c r="C31" s="40" t="s">
        <v>52</v>
      </c>
      <c r="D31" s="40" t="s">
        <v>307</v>
      </c>
      <c r="E31" s="48" t="s">
        <v>306</v>
      </c>
      <c r="F31" s="37"/>
      <c r="G31" s="37"/>
      <c r="H31" s="38">
        <f>360000/24</f>
        <v>15000</v>
      </c>
      <c r="I31" s="38">
        <f t="shared" si="0"/>
        <v>13436.769591761751</v>
      </c>
      <c r="J31" s="34">
        <f t="shared" si="1"/>
        <v>32379.445420993052</v>
      </c>
      <c r="K31" s="32">
        <v>20</v>
      </c>
      <c r="L31" s="19"/>
      <c r="M31" s="2"/>
    </row>
    <row r="32" spans="1:13" x14ac:dyDescent="0.2">
      <c r="A32" s="52" t="s">
        <v>7</v>
      </c>
      <c r="B32" s="48" t="s">
        <v>328</v>
      </c>
      <c r="C32" s="48" t="s">
        <v>27</v>
      </c>
      <c r="D32" s="40" t="s">
        <v>307</v>
      </c>
      <c r="E32" s="48" t="s">
        <v>306</v>
      </c>
      <c r="F32" s="37"/>
      <c r="G32" s="37"/>
      <c r="H32" s="38">
        <v>250</v>
      </c>
      <c r="I32" s="38">
        <f>H32*24*3.2808^3*288.705/273.15/1000</f>
        <v>223.94615986269582</v>
      </c>
      <c r="J32" s="34">
        <f>I32/0.7302/519.69*2.016/2.2046*1000</f>
        <v>539.65742368321742</v>
      </c>
      <c r="K32" s="80">
        <v>20</v>
      </c>
      <c r="L32" s="81"/>
      <c r="M32" s="2"/>
    </row>
    <row r="33" spans="1:12" x14ac:dyDescent="0.2">
      <c r="A33" s="52" t="s">
        <v>7</v>
      </c>
      <c r="B33" s="40" t="s">
        <v>86</v>
      </c>
      <c r="C33" s="40" t="s">
        <v>27</v>
      </c>
      <c r="D33" s="48" t="s">
        <v>307</v>
      </c>
      <c r="E33" s="48" t="s">
        <v>306</v>
      </c>
      <c r="F33" s="48" t="s">
        <v>331</v>
      </c>
      <c r="G33" s="48" t="s">
        <v>295</v>
      </c>
      <c r="H33" s="38">
        <f>170000/24</f>
        <v>7083.333333333333</v>
      </c>
      <c r="I33" s="38">
        <f t="shared" si="0"/>
        <v>6345.1411961097147</v>
      </c>
      <c r="J33" s="34">
        <f t="shared" si="1"/>
        <v>15290.293671024496</v>
      </c>
      <c r="K33" s="32" t="s">
        <v>229</v>
      </c>
      <c r="L33" s="19">
        <v>1994</v>
      </c>
    </row>
    <row r="34" spans="1:12" x14ac:dyDescent="0.2">
      <c r="A34" s="52" t="s">
        <v>7</v>
      </c>
      <c r="B34" s="40" t="s">
        <v>91</v>
      </c>
      <c r="C34" s="40" t="s">
        <v>27</v>
      </c>
      <c r="D34" s="48" t="s">
        <v>307</v>
      </c>
      <c r="E34" s="48" t="s">
        <v>306</v>
      </c>
      <c r="F34" s="48" t="s">
        <v>333</v>
      </c>
      <c r="G34" s="40"/>
      <c r="H34" s="38">
        <f>12000/24</f>
        <v>500</v>
      </c>
      <c r="I34" s="38">
        <f t="shared" si="0"/>
        <v>447.89231972539164</v>
      </c>
      <c r="J34" s="34">
        <f t="shared" si="1"/>
        <v>1079.3148473664348</v>
      </c>
      <c r="K34" s="32">
        <v>20</v>
      </c>
      <c r="L34" s="19"/>
    </row>
    <row r="35" spans="1:12" x14ac:dyDescent="0.2">
      <c r="A35" s="52" t="s">
        <v>7</v>
      </c>
      <c r="B35" s="40" t="s">
        <v>29</v>
      </c>
      <c r="C35" s="40" t="s">
        <v>27</v>
      </c>
      <c r="D35" s="48" t="s">
        <v>307</v>
      </c>
      <c r="E35" s="48" t="s">
        <v>304</v>
      </c>
      <c r="F35" s="40" t="s">
        <v>294</v>
      </c>
      <c r="G35" s="40" t="s">
        <v>295</v>
      </c>
      <c r="H35" s="38">
        <f>I35*1000/24/3.2808^3*273.15/288.706</f>
        <v>27795.314927115727</v>
      </c>
      <c r="I35" s="38">
        <f>J35*2.2046/2.016*0.7302*519.69/1000</f>
        <v>24898.702402821429</v>
      </c>
      <c r="J35" s="34">
        <v>60000</v>
      </c>
      <c r="K35" s="74">
        <v>49</v>
      </c>
      <c r="L35" s="75">
        <v>2015</v>
      </c>
    </row>
    <row r="36" spans="1:12" x14ac:dyDescent="0.2">
      <c r="A36" s="52" t="s">
        <v>7</v>
      </c>
      <c r="B36" s="48" t="s">
        <v>322</v>
      </c>
      <c r="C36" s="48" t="s">
        <v>27</v>
      </c>
      <c r="D36" s="47" t="s">
        <v>323</v>
      </c>
      <c r="E36" s="48" t="s">
        <v>306</v>
      </c>
      <c r="F36" s="40"/>
      <c r="G36" s="40"/>
      <c r="H36" s="38">
        <v>8000</v>
      </c>
      <c r="I36" s="38">
        <f>H36*24*3.2808^3*288.705/273.15/1000</f>
        <v>7166.2771156062663</v>
      </c>
      <c r="J36" s="34">
        <f>I36/0.7302/519.69*2.016/2.2046*1000</f>
        <v>17269.037557862957</v>
      </c>
      <c r="K36" s="80">
        <v>20</v>
      </c>
      <c r="L36" s="81"/>
    </row>
    <row r="37" spans="1:12" x14ac:dyDescent="0.2">
      <c r="A37" s="52" t="s">
        <v>7</v>
      </c>
      <c r="B37" s="40" t="s">
        <v>87</v>
      </c>
      <c r="C37" s="40" t="s">
        <v>27</v>
      </c>
      <c r="D37" s="48" t="s">
        <v>307</v>
      </c>
      <c r="E37" s="47" t="s">
        <v>306</v>
      </c>
      <c r="F37" s="48" t="s">
        <v>332</v>
      </c>
      <c r="G37" s="40"/>
      <c r="H37" s="38">
        <f>18000/24</f>
        <v>750</v>
      </c>
      <c r="I37" s="38">
        <f t="shared" si="0"/>
        <v>671.83847958808747</v>
      </c>
      <c r="J37" s="34">
        <f t="shared" si="1"/>
        <v>1618.9722710496524</v>
      </c>
      <c r="K37" s="32">
        <v>20</v>
      </c>
      <c r="L37" s="19"/>
    </row>
    <row r="38" spans="1:12" x14ac:dyDescent="0.2">
      <c r="A38" s="52" t="s">
        <v>7</v>
      </c>
      <c r="B38" s="48" t="s">
        <v>329</v>
      </c>
      <c r="C38" s="48" t="s">
        <v>27</v>
      </c>
      <c r="D38" s="48" t="s">
        <v>307</v>
      </c>
      <c r="E38" s="47" t="s">
        <v>306</v>
      </c>
      <c r="F38" s="47" t="s">
        <v>299</v>
      </c>
      <c r="G38" s="47" t="s">
        <v>295</v>
      </c>
      <c r="H38" s="38">
        <v>292</v>
      </c>
      <c r="I38" s="38">
        <f>H38*24*3.2808^3*288.705/273.15/1000</f>
        <v>261.56911471962871</v>
      </c>
      <c r="J38" s="34">
        <f>I38/0.7302/519.69*2.016/2.2046*1000</f>
        <v>630.31987086199808</v>
      </c>
      <c r="K38" s="80">
        <v>20</v>
      </c>
      <c r="L38" s="81"/>
    </row>
    <row r="39" spans="1:12" x14ac:dyDescent="0.2">
      <c r="A39" s="52" t="s">
        <v>7</v>
      </c>
      <c r="B39" s="40" t="s">
        <v>82</v>
      </c>
      <c r="C39" s="40" t="s">
        <v>27</v>
      </c>
      <c r="D39" s="48" t="s">
        <v>307</v>
      </c>
      <c r="E39" s="48" t="s">
        <v>306</v>
      </c>
      <c r="F39" s="48" t="s">
        <v>327</v>
      </c>
      <c r="G39" s="48" t="s">
        <v>295</v>
      </c>
      <c r="H39" s="38">
        <f>34000/24</f>
        <v>1416.6666666666667</v>
      </c>
      <c r="I39" s="38">
        <f t="shared" si="0"/>
        <v>1269.0282392219428</v>
      </c>
      <c r="J39" s="34">
        <f t="shared" si="1"/>
        <v>3058.058734204898</v>
      </c>
      <c r="K39" s="32">
        <v>20</v>
      </c>
      <c r="L39" s="19"/>
    </row>
    <row r="40" spans="1:12" x14ac:dyDescent="0.2">
      <c r="A40" s="52" t="s">
        <v>7</v>
      </c>
      <c r="B40" s="47" t="s">
        <v>276</v>
      </c>
      <c r="C40" s="48" t="s">
        <v>27</v>
      </c>
      <c r="D40" s="48" t="s">
        <v>307</v>
      </c>
      <c r="E40" s="48" t="s">
        <v>304</v>
      </c>
      <c r="F40" s="40"/>
      <c r="G40" s="40"/>
      <c r="H40" s="38">
        <f>83000*0.75</f>
        <v>62250</v>
      </c>
      <c r="I40" s="38">
        <f t="shared" si="0"/>
        <v>55762.593805811259</v>
      </c>
      <c r="J40" s="34">
        <f t="shared" si="1"/>
        <v>134374.69849712114</v>
      </c>
      <c r="K40" s="67">
        <v>46</v>
      </c>
      <c r="L40" s="69"/>
    </row>
    <row r="41" spans="1:12" x14ac:dyDescent="0.2">
      <c r="A41" s="52" t="s">
        <v>7</v>
      </c>
      <c r="B41" s="40" t="s">
        <v>81</v>
      </c>
      <c r="C41" s="40" t="s">
        <v>27</v>
      </c>
      <c r="D41" s="48" t="s">
        <v>307</v>
      </c>
      <c r="E41" s="48" t="s">
        <v>306</v>
      </c>
      <c r="F41" s="48" t="s">
        <v>326</v>
      </c>
      <c r="G41" s="40"/>
      <c r="H41" s="38">
        <f>22000/24</f>
        <v>916.66666666666663</v>
      </c>
      <c r="I41" s="38">
        <f t="shared" si="0"/>
        <v>821.13591949655131</v>
      </c>
      <c r="J41" s="34">
        <f t="shared" si="1"/>
        <v>1978.7438868384638</v>
      </c>
      <c r="K41" s="32">
        <v>20</v>
      </c>
      <c r="L41" s="19"/>
    </row>
    <row r="42" spans="1:12" x14ac:dyDescent="0.2">
      <c r="A42" s="52" t="s">
        <v>7</v>
      </c>
      <c r="B42" s="40" t="s">
        <v>92</v>
      </c>
      <c r="C42" s="40" t="s">
        <v>27</v>
      </c>
      <c r="D42" s="48" t="s">
        <v>334</v>
      </c>
      <c r="E42" s="48" t="s">
        <v>306</v>
      </c>
      <c r="F42" s="48" t="s">
        <v>301</v>
      </c>
      <c r="G42" s="47" t="s">
        <v>295</v>
      </c>
      <c r="H42" s="38">
        <f>350000/24</f>
        <v>14583.333333333334</v>
      </c>
      <c r="I42" s="38">
        <f t="shared" si="0"/>
        <v>13063.525991990589</v>
      </c>
      <c r="J42" s="34">
        <f t="shared" si="1"/>
        <v>31480.016381521014</v>
      </c>
      <c r="K42" s="32">
        <v>20</v>
      </c>
      <c r="L42" s="19"/>
    </row>
    <row r="43" spans="1:12" x14ac:dyDescent="0.2">
      <c r="A43" s="52" t="s">
        <v>7</v>
      </c>
      <c r="B43" s="47" t="s">
        <v>344</v>
      </c>
      <c r="C43" s="47" t="s">
        <v>23</v>
      </c>
      <c r="D43" s="48" t="s">
        <v>307</v>
      </c>
      <c r="E43" s="47" t="s">
        <v>306</v>
      </c>
      <c r="F43" s="48"/>
      <c r="G43" s="47"/>
      <c r="H43" s="38">
        <v>350</v>
      </c>
      <c r="I43" s="38">
        <f>H43*24*3.2808^3*288.705/273.15/1000</f>
        <v>313.52462380777411</v>
      </c>
      <c r="J43" s="34">
        <f>I43/0.7302/519.69*2.016/2.2046*1000</f>
        <v>755.52039315650427</v>
      </c>
      <c r="K43" s="80">
        <v>20</v>
      </c>
      <c r="L43" s="81">
        <v>1997</v>
      </c>
    </row>
    <row r="44" spans="1:12" x14ac:dyDescent="0.2">
      <c r="A44" s="52" t="s">
        <v>7</v>
      </c>
      <c r="B44" s="47" t="s">
        <v>278</v>
      </c>
      <c r="C44" s="40" t="s">
        <v>23</v>
      </c>
      <c r="D44" s="48" t="s">
        <v>307</v>
      </c>
      <c r="E44" s="48" t="s">
        <v>306</v>
      </c>
      <c r="F44" s="47" t="s">
        <v>320</v>
      </c>
      <c r="G44" s="48" t="s">
        <v>275</v>
      </c>
      <c r="H44" s="38">
        <v>30000</v>
      </c>
      <c r="I44" s="38">
        <f t="shared" si="0"/>
        <v>26873.539183523502</v>
      </c>
      <c r="J44" s="34">
        <f t="shared" si="1"/>
        <v>64758.890841986104</v>
      </c>
      <c r="K44" s="32" t="s">
        <v>142</v>
      </c>
      <c r="L44" s="19">
        <v>2007</v>
      </c>
    </row>
    <row r="45" spans="1:12" x14ac:dyDescent="0.2">
      <c r="A45" s="52" t="s">
        <v>7</v>
      </c>
      <c r="B45" s="48" t="s">
        <v>124</v>
      </c>
      <c r="C45" s="40" t="s">
        <v>23</v>
      </c>
      <c r="D45" s="37"/>
      <c r="E45" s="37"/>
      <c r="F45" s="37"/>
      <c r="G45" s="37"/>
      <c r="H45" s="38">
        <v>1000</v>
      </c>
      <c r="I45" s="38">
        <f t="shared" ref="I45:I50" si="2">H45*24*3.2808^3*288.705/273.15/1000</f>
        <v>895.78463945078329</v>
      </c>
      <c r="J45" s="34">
        <f t="shared" ref="J45:J50" si="3">I45/0.7302/519.69*2.016/2.2046*1000</f>
        <v>2158.6296947328697</v>
      </c>
      <c r="K45" s="32">
        <v>20</v>
      </c>
      <c r="L45" s="19"/>
    </row>
    <row r="46" spans="1:12" x14ac:dyDescent="0.2">
      <c r="A46" s="52" t="s">
        <v>7</v>
      </c>
      <c r="B46" s="40" t="s">
        <v>69</v>
      </c>
      <c r="C46" s="40" t="s">
        <v>64</v>
      </c>
      <c r="D46" s="48" t="s">
        <v>307</v>
      </c>
      <c r="E46" s="48" t="s">
        <v>306</v>
      </c>
      <c r="F46" s="40"/>
      <c r="G46" s="40"/>
      <c r="H46" s="38">
        <f>744000/24</f>
        <v>31000</v>
      </c>
      <c r="I46" s="38">
        <f t="shared" si="2"/>
        <v>27769.323822974278</v>
      </c>
      <c r="J46" s="34">
        <f t="shared" si="3"/>
        <v>66917.520536718948</v>
      </c>
      <c r="K46" s="39">
        <v>20</v>
      </c>
      <c r="L46" s="58"/>
    </row>
    <row r="47" spans="1:12" x14ac:dyDescent="0.2">
      <c r="A47" s="52" t="s">
        <v>7</v>
      </c>
      <c r="B47" s="40" t="s">
        <v>69</v>
      </c>
      <c r="C47" s="40" t="s">
        <v>64</v>
      </c>
      <c r="D47" s="48" t="s">
        <v>307</v>
      </c>
      <c r="E47" s="48" t="s">
        <v>306</v>
      </c>
      <c r="F47" s="48" t="s">
        <v>346</v>
      </c>
      <c r="G47" s="40"/>
      <c r="H47" s="38">
        <f>25000/24</f>
        <v>1041.6666666666667</v>
      </c>
      <c r="I47" s="38">
        <f t="shared" si="2"/>
        <v>933.10899942789911</v>
      </c>
      <c r="J47" s="34">
        <f t="shared" si="3"/>
        <v>2248.5725986800726</v>
      </c>
      <c r="K47" s="39">
        <v>20</v>
      </c>
      <c r="L47" s="19"/>
    </row>
    <row r="48" spans="1:12" x14ac:dyDescent="0.2">
      <c r="A48" s="52" t="s">
        <v>7</v>
      </c>
      <c r="B48" s="47" t="s">
        <v>242</v>
      </c>
      <c r="C48" s="40" t="s">
        <v>64</v>
      </c>
      <c r="D48" s="48" t="s">
        <v>307</v>
      </c>
      <c r="E48" s="48" t="s">
        <v>306</v>
      </c>
      <c r="F48" s="40"/>
      <c r="G48" s="40"/>
      <c r="H48" s="38">
        <v>130000</v>
      </c>
      <c r="I48" s="38">
        <f t="shared" si="2"/>
        <v>116452.00312860182</v>
      </c>
      <c r="J48" s="34">
        <f t="shared" si="3"/>
        <v>280621.86031527311</v>
      </c>
      <c r="K48" s="62" t="s">
        <v>310</v>
      </c>
      <c r="L48" s="19">
        <v>2011</v>
      </c>
    </row>
    <row r="49" spans="1:12" x14ac:dyDescent="0.2">
      <c r="A49" s="52" t="s">
        <v>7</v>
      </c>
      <c r="B49" s="47" t="s">
        <v>242</v>
      </c>
      <c r="C49" s="40" t="s">
        <v>64</v>
      </c>
      <c r="D49" s="48" t="s">
        <v>307</v>
      </c>
      <c r="E49" s="48" t="s">
        <v>304</v>
      </c>
      <c r="F49" s="40"/>
      <c r="G49" s="40"/>
      <c r="H49" s="38">
        <v>13500</v>
      </c>
      <c r="I49" s="38">
        <f t="shared" si="2"/>
        <v>12093.092632585574</v>
      </c>
      <c r="J49" s="34">
        <f t="shared" si="3"/>
        <v>29141.500878893741</v>
      </c>
      <c r="K49" s="79" t="s">
        <v>311</v>
      </c>
      <c r="L49" s="58">
        <v>1997</v>
      </c>
    </row>
    <row r="50" spans="1:12" x14ac:dyDescent="0.2">
      <c r="A50" s="52" t="s">
        <v>7</v>
      </c>
      <c r="B50" s="47" t="s">
        <v>242</v>
      </c>
      <c r="C50" s="40" t="s">
        <v>64</v>
      </c>
      <c r="D50" s="48" t="s">
        <v>308</v>
      </c>
      <c r="E50" s="48" t="s">
        <v>304</v>
      </c>
      <c r="F50" s="40"/>
      <c r="G50" s="40"/>
      <c r="H50" s="38">
        <v>16500</v>
      </c>
      <c r="I50" s="38">
        <f t="shared" si="2"/>
        <v>14780.446550937922</v>
      </c>
      <c r="J50" s="34">
        <f t="shared" si="3"/>
        <v>35617.389963092348</v>
      </c>
      <c r="K50" s="79" t="s">
        <v>311</v>
      </c>
      <c r="L50" s="19">
        <v>2002</v>
      </c>
    </row>
    <row r="51" spans="1:12" x14ac:dyDescent="0.2">
      <c r="A51" s="52" t="s">
        <v>7</v>
      </c>
      <c r="B51" s="47" t="s">
        <v>72</v>
      </c>
      <c r="C51" s="40" t="s">
        <v>64</v>
      </c>
      <c r="D51" s="48" t="s">
        <v>313</v>
      </c>
      <c r="E51" s="48" t="s">
        <v>306</v>
      </c>
      <c r="F51" s="48" t="s">
        <v>301</v>
      </c>
      <c r="G51" s="48" t="s">
        <v>295</v>
      </c>
      <c r="H51" s="38"/>
      <c r="I51" s="38"/>
      <c r="J51" s="34"/>
      <c r="K51" s="57">
        <v>20</v>
      </c>
      <c r="L51" s="19"/>
    </row>
    <row r="52" spans="1:12" x14ac:dyDescent="0.2">
      <c r="A52" s="52" t="s">
        <v>7</v>
      </c>
      <c r="B52" s="40" t="s">
        <v>146</v>
      </c>
      <c r="C52" s="40" t="s">
        <v>147</v>
      </c>
      <c r="D52" s="48" t="s">
        <v>307</v>
      </c>
      <c r="E52" s="48" t="s">
        <v>306</v>
      </c>
      <c r="F52" s="40"/>
      <c r="G52" s="40"/>
      <c r="H52" s="38">
        <f>76000/24</f>
        <v>3166.6666666666665</v>
      </c>
      <c r="I52" s="38">
        <f>H52*24*3.2808^3*288.705/273.15/1000</f>
        <v>2836.6513582608136</v>
      </c>
      <c r="J52" s="34">
        <f>I52/0.7302/519.69*2.016/2.2046*1000</f>
        <v>6835.6606999874211</v>
      </c>
      <c r="K52" s="32">
        <v>20</v>
      </c>
      <c r="L52" s="19"/>
    </row>
    <row r="53" spans="1:12" x14ac:dyDescent="0.2">
      <c r="A53" s="52" t="s">
        <v>7</v>
      </c>
      <c r="B53" s="40" t="s">
        <v>146</v>
      </c>
      <c r="C53" s="40" t="s">
        <v>147</v>
      </c>
      <c r="D53" s="48" t="s">
        <v>307</v>
      </c>
      <c r="E53" s="48" t="s">
        <v>306</v>
      </c>
      <c r="F53" s="48" t="s">
        <v>347</v>
      </c>
      <c r="G53" s="48" t="s">
        <v>295</v>
      </c>
      <c r="H53" s="38">
        <f>120000/24</f>
        <v>5000</v>
      </c>
      <c r="I53" s="38">
        <f>H53*24*3.2808^3*288.705/273.15/1000</f>
        <v>4478.9231972539164</v>
      </c>
      <c r="J53" s="34">
        <f>I53/0.7302/519.69*2.016/2.2046*1000</f>
        <v>10793.148473664349</v>
      </c>
      <c r="K53" s="32">
        <v>20</v>
      </c>
      <c r="L53" s="19"/>
    </row>
    <row r="54" spans="1:12" x14ac:dyDescent="0.2">
      <c r="A54" s="52" t="s">
        <v>7</v>
      </c>
      <c r="B54" s="40" t="s">
        <v>95</v>
      </c>
      <c r="C54" s="40" t="s">
        <v>49</v>
      </c>
      <c r="D54" s="48" t="s">
        <v>307</v>
      </c>
      <c r="E54" s="48" t="s">
        <v>306</v>
      </c>
      <c r="F54" s="48" t="s">
        <v>336</v>
      </c>
      <c r="G54" s="48" t="s">
        <v>295</v>
      </c>
      <c r="H54" s="38">
        <f>30000/24</f>
        <v>1250</v>
      </c>
      <c r="I54" s="38">
        <f>H54*24*3.2808^3*288.705/273.15/1000</f>
        <v>1119.7307993134791</v>
      </c>
      <c r="J54" s="34">
        <f>I54/0.7302/519.69*2.016/2.2046*1000</f>
        <v>2698.2871184160872</v>
      </c>
      <c r="K54" s="32">
        <v>20</v>
      </c>
      <c r="L54" s="19"/>
    </row>
    <row r="55" spans="1:12" x14ac:dyDescent="0.2">
      <c r="A55" s="52" t="s">
        <v>7</v>
      </c>
      <c r="B55" s="40" t="s">
        <v>62</v>
      </c>
      <c r="C55" s="40" t="s">
        <v>49</v>
      </c>
      <c r="D55" s="48" t="s">
        <v>307</v>
      </c>
      <c r="E55" s="48" t="s">
        <v>306</v>
      </c>
      <c r="F55" s="48" t="s">
        <v>281</v>
      </c>
      <c r="G55" s="48" t="s">
        <v>275</v>
      </c>
      <c r="H55" s="38">
        <f>I55*1000/24/3.2808^3*273.15/288.706</f>
        <v>31130.752718369615</v>
      </c>
      <c r="I55" s="38">
        <f>J55*2.2046/2.016*0.7302*519.69/1000</f>
        <v>27886.546691160002</v>
      </c>
      <c r="J55" s="34">
        <f>2800*24</f>
        <v>67200</v>
      </c>
      <c r="K55" s="32" t="s">
        <v>93</v>
      </c>
      <c r="L55" s="19">
        <v>2004</v>
      </c>
    </row>
    <row r="56" spans="1:12" x14ac:dyDescent="0.2">
      <c r="A56" s="52" t="s">
        <v>7</v>
      </c>
      <c r="B56" s="40" t="s">
        <v>53</v>
      </c>
      <c r="C56" s="40" t="s">
        <v>49</v>
      </c>
      <c r="D56" s="48" t="s">
        <v>307</v>
      </c>
      <c r="E56" s="48" t="s">
        <v>306</v>
      </c>
      <c r="F56" s="48" t="s">
        <v>281</v>
      </c>
      <c r="G56" s="48" t="s">
        <v>275</v>
      </c>
      <c r="H56" s="38">
        <f>I56*1000/24/3.2808^3*273.15/288.706</f>
        <v>48697.391752306765</v>
      </c>
      <c r="I56" s="38">
        <f>J56*2.2046/2.016*0.7302*519.69/1000</f>
        <v>43622.526609743145</v>
      </c>
      <c r="J56" s="34">
        <f>4380*24</f>
        <v>105120</v>
      </c>
      <c r="K56" s="32" t="s">
        <v>99</v>
      </c>
      <c r="L56" s="19">
        <v>2002</v>
      </c>
    </row>
    <row r="57" spans="1:12" x14ac:dyDescent="0.2">
      <c r="A57" s="52" t="s">
        <v>7</v>
      </c>
      <c r="B57" s="40" t="s">
        <v>163</v>
      </c>
      <c r="C57" s="40" t="s">
        <v>46</v>
      </c>
      <c r="D57" s="40"/>
      <c r="E57" s="40"/>
      <c r="F57" s="40"/>
      <c r="G57" s="40"/>
      <c r="H57" s="38"/>
      <c r="I57" s="38"/>
      <c r="J57" s="34"/>
      <c r="K57" s="32">
        <v>20</v>
      </c>
      <c r="L57" s="19"/>
    </row>
    <row r="58" spans="1:12" x14ac:dyDescent="0.2">
      <c r="A58" s="52" t="s">
        <v>7</v>
      </c>
      <c r="B58" s="40" t="s">
        <v>162</v>
      </c>
      <c r="C58" s="40" t="s">
        <v>46</v>
      </c>
      <c r="D58" s="40"/>
      <c r="E58" s="40"/>
      <c r="F58" s="40"/>
      <c r="G58" s="40"/>
      <c r="H58" s="38"/>
      <c r="I58" s="38"/>
      <c r="J58" s="34"/>
      <c r="K58" s="32">
        <v>20</v>
      </c>
      <c r="L58" s="19"/>
    </row>
    <row r="59" spans="1:12" x14ac:dyDescent="0.2">
      <c r="A59" s="52" t="s">
        <v>7</v>
      </c>
      <c r="B59" s="48" t="s">
        <v>370</v>
      </c>
      <c r="C59" s="40" t="s">
        <v>46</v>
      </c>
      <c r="D59" s="40"/>
      <c r="E59" s="40"/>
      <c r="F59" s="40"/>
      <c r="G59" s="40"/>
      <c r="H59" s="38"/>
      <c r="I59" s="38"/>
      <c r="J59" s="34"/>
      <c r="K59" s="32"/>
      <c r="L59" s="19"/>
    </row>
    <row r="60" spans="1:12" x14ac:dyDescent="0.2">
      <c r="A60" s="52" t="s">
        <v>7</v>
      </c>
      <c r="B60" s="48" t="s">
        <v>248</v>
      </c>
      <c r="C60" s="40" t="s">
        <v>46</v>
      </c>
      <c r="D60" s="40"/>
      <c r="E60" s="40"/>
      <c r="F60" s="40"/>
      <c r="G60" s="40"/>
      <c r="H60" s="38"/>
      <c r="I60" s="38"/>
      <c r="J60" s="34"/>
      <c r="K60" s="57"/>
      <c r="L60" s="58"/>
    </row>
    <row r="61" spans="1:12" x14ac:dyDescent="0.2">
      <c r="A61" s="52" t="s">
        <v>4</v>
      </c>
      <c r="B61" s="40" t="s">
        <v>77</v>
      </c>
      <c r="C61" s="40" t="s">
        <v>78</v>
      </c>
      <c r="D61" s="40" t="s">
        <v>313</v>
      </c>
      <c r="E61" s="40" t="s">
        <v>306</v>
      </c>
      <c r="F61" s="40"/>
      <c r="G61" s="40"/>
      <c r="H61" s="37"/>
      <c r="I61" s="37"/>
      <c r="J61" s="37"/>
      <c r="K61" s="57" t="s">
        <v>234</v>
      </c>
      <c r="L61" s="58" t="s">
        <v>233</v>
      </c>
    </row>
    <row r="62" spans="1:12" x14ac:dyDescent="0.2">
      <c r="A62" s="52" t="s">
        <v>4</v>
      </c>
      <c r="B62" s="40" t="s">
        <v>79</v>
      </c>
      <c r="C62" s="40" t="s">
        <v>27</v>
      </c>
      <c r="D62" s="40"/>
      <c r="E62" s="40"/>
      <c r="F62" s="40"/>
      <c r="G62" s="40"/>
      <c r="H62" s="44">
        <f>13000/24</f>
        <v>541.66666666666663</v>
      </c>
      <c r="I62" s="38">
        <f>H62*24*3.2808^3*288.705/273.15/1000</f>
        <v>485.21667970250758</v>
      </c>
      <c r="J62" s="34">
        <f>I62/0.7302/519.69*2.016/2.2046*1000</f>
        <v>1169.2577513136378</v>
      </c>
      <c r="K62" s="32">
        <v>20</v>
      </c>
      <c r="L62" s="19"/>
    </row>
    <row r="63" spans="1:12" x14ac:dyDescent="0.2">
      <c r="A63" s="52" t="s">
        <v>4</v>
      </c>
      <c r="B63" s="48" t="s">
        <v>92</v>
      </c>
      <c r="C63" s="48" t="s">
        <v>27</v>
      </c>
      <c r="D63" s="48"/>
      <c r="E63" s="48"/>
      <c r="F63" s="48"/>
      <c r="G63" s="48"/>
      <c r="H63" s="44"/>
      <c r="I63" s="38"/>
      <c r="J63" s="34"/>
      <c r="K63" s="32">
        <v>36</v>
      </c>
      <c r="L63" s="19"/>
    </row>
    <row r="64" spans="1:12" x14ac:dyDescent="0.2">
      <c r="A64" s="52" t="s">
        <v>4</v>
      </c>
      <c r="B64" s="40" t="s">
        <v>47</v>
      </c>
      <c r="C64" s="40" t="s">
        <v>23</v>
      </c>
      <c r="D64" s="48" t="s">
        <v>307</v>
      </c>
      <c r="E64" s="37"/>
      <c r="F64" s="37"/>
      <c r="G64" s="37"/>
      <c r="H64" s="38">
        <f>17000/24</f>
        <v>708.33333333333337</v>
      </c>
      <c r="I64" s="38">
        <f>H64*24*3.2808^3*288.705/273.15/1000</f>
        <v>634.51411961097142</v>
      </c>
      <c r="J64" s="34">
        <f>I64/0.7302/519.69*2.016/2.2046*1000</f>
        <v>1529.029367102449</v>
      </c>
      <c r="K64" s="32">
        <v>20</v>
      </c>
      <c r="L64" s="19"/>
    </row>
    <row r="65" spans="1:12" x14ac:dyDescent="0.2">
      <c r="A65" s="52" t="s">
        <v>4</v>
      </c>
      <c r="B65" s="40" t="s">
        <v>47</v>
      </c>
      <c r="C65" s="40" t="s">
        <v>23</v>
      </c>
      <c r="D65" s="48" t="s">
        <v>307</v>
      </c>
      <c r="E65" s="37"/>
      <c r="F65" s="37"/>
      <c r="G65" s="37"/>
      <c r="H65" s="38"/>
      <c r="I65" s="37"/>
      <c r="J65" s="34"/>
      <c r="K65" s="32">
        <v>20</v>
      </c>
      <c r="L65" s="19"/>
    </row>
    <row r="66" spans="1:12" x14ac:dyDescent="0.2">
      <c r="A66" s="52" t="s">
        <v>4</v>
      </c>
      <c r="B66" s="40" t="s">
        <v>239</v>
      </c>
      <c r="C66" s="40" t="s">
        <v>23</v>
      </c>
      <c r="D66" s="48" t="s">
        <v>307</v>
      </c>
      <c r="E66" s="48" t="s">
        <v>306</v>
      </c>
      <c r="F66" s="47" t="s">
        <v>341</v>
      </c>
      <c r="G66" s="48" t="s">
        <v>275</v>
      </c>
      <c r="H66" s="38">
        <f>I66*1000/24/3.2808^3*273.15/288.706</f>
        <v>17749.7405363205</v>
      </c>
      <c r="I66" s="38">
        <v>15900</v>
      </c>
      <c r="J66" s="34">
        <f>I66/0.7302/519.69*2.016/2.2046*1000</f>
        <v>38315.2497092337</v>
      </c>
      <c r="K66" s="32" t="s">
        <v>101</v>
      </c>
      <c r="L66" s="19">
        <v>2004</v>
      </c>
    </row>
    <row r="67" spans="1:12" x14ac:dyDescent="0.2">
      <c r="A67" s="52" t="s">
        <v>4</v>
      </c>
      <c r="B67" s="40" t="s">
        <v>125</v>
      </c>
      <c r="C67" s="40" t="s">
        <v>23</v>
      </c>
      <c r="D67" s="48" t="s">
        <v>313</v>
      </c>
      <c r="E67" s="47" t="s">
        <v>306</v>
      </c>
      <c r="F67" s="40"/>
      <c r="G67" s="40"/>
      <c r="H67" s="38"/>
      <c r="I67" s="37"/>
      <c r="J67" s="34"/>
      <c r="K67" s="32">
        <v>20</v>
      </c>
      <c r="L67" s="19"/>
    </row>
    <row r="68" spans="1:12" x14ac:dyDescent="0.2">
      <c r="A68" s="52" t="s">
        <v>4</v>
      </c>
      <c r="B68" s="40" t="s">
        <v>240</v>
      </c>
      <c r="C68" s="40" t="s">
        <v>23</v>
      </c>
      <c r="D68" s="40"/>
      <c r="E68" s="40"/>
      <c r="F68" s="40"/>
      <c r="G68" s="40"/>
      <c r="H68" s="38"/>
      <c r="I68" s="37"/>
      <c r="J68" s="34"/>
      <c r="K68" s="55">
        <v>42</v>
      </c>
      <c r="L68" s="56">
        <v>2005</v>
      </c>
    </row>
    <row r="69" spans="1:12" x14ac:dyDescent="0.2">
      <c r="A69" s="52" t="s">
        <v>4</v>
      </c>
      <c r="B69" s="40" t="s">
        <v>235</v>
      </c>
      <c r="C69" s="40" t="s">
        <v>23</v>
      </c>
      <c r="D69" s="40"/>
      <c r="E69" s="40"/>
      <c r="F69" s="40"/>
      <c r="G69" s="40"/>
      <c r="H69" s="38"/>
      <c r="I69" s="37"/>
      <c r="J69" s="34"/>
      <c r="K69" s="32">
        <v>42</v>
      </c>
      <c r="L69" s="19">
        <v>1992</v>
      </c>
    </row>
    <row r="70" spans="1:12" x14ac:dyDescent="0.2">
      <c r="A70" s="52" t="s">
        <v>4</v>
      </c>
      <c r="B70" s="40" t="s">
        <v>209</v>
      </c>
      <c r="C70" s="40" t="s">
        <v>23</v>
      </c>
      <c r="D70" s="40"/>
      <c r="E70" s="40"/>
      <c r="F70" s="40"/>
      <c r="G70" s="40"/>
      <c r="H70" s="38"/>
      <c r="I70" s="37"/>
      <c r="J70" s="34"/>
      <c r="K70" s="32">
        <v>42</v>
      </c>
      <c r="L70" s="19">
        <v>1994</v>
      </c>
    </row>
    <row r="71" spans="1:12" x14ac:dyDescent="0.2">
      <c r="A71" s="52" t="s">
        <v>4</v>
      </c>
      <c r="B71" s="48" t="s">
        <v>249</v>
      </c>
      <c r="C71" s="40" t="s">
        <v>64</v>
      </c>
      <c r="D71" s="40"/>
      <c r="E71" s="40"/>
      <c r="F71" s="40"/>
      <c r="G71" s="40"/>
      <c r="H71" s="38"/>
      <c r="I71" s="37"/>
      <c r="J71" s="34"/>
      <c r="K71" s="32">
        <v>20</v>
      </c>
      <c r="L71" s="19"/>
    </row>
    <row r="72" spans="1:12" x14ac:dyDescent="0.2">
      <c r="A72" s="52" t="s">
        <v>4</v>
      </c>
      <c r="B72" s="47" t="s">
        <v>242</v>
      </c>
      <c r="C72" s="48" t="s">
        <v>64</v>
      </c>
      <c r="D72" s="48" t="s">
        <v>345</v>
      </c>
      <c r="E72" s="48" t="s">
        <v>306</v>
      </c>
      <c r="F72" s="47" t="s">
        <v>279</v>
      </c>
      <c r="G72" s="48" t="s">
        <v>275</v>
      </c>
      <c r="H72" s="38">
        <v>135000</v>
      </c>
      <c r="I72" s="38">
        <f>H72*24*3.2808^3*288.705/273.15/1000</f>
        <v>120930.92632585573</v>
      </c>
      <c r="J72" s="34">
        <f>I72/0.7302/519.69*2.016/2.2046*1000</f>
        <v>291415.00878893735</v>
      </c>
      <c r="K72" s="62" t="s">
        <v>245</v>
      </c>
      <c r="L72" s="19">
        <v>2011</v>
      </c>
    </row>
    <row r="73" spans="1:12" x14ac:dyDescent="0.2">
      <c r="A73" s="52" t="s">
        <v>4</v>
      </c>
      <c r="B73" s="40" t="s">
        <v>241</v>
      </c>
      <c r="C73" s="40" t="s">
        <v>64</v>
      </c>
      <c r="D73" s="48" t="s">
        <v>307</v>
      </c>
      <c r="E73" s="48" t="s">
        <v>306</v>
      </c>
      <c r="F73" s="40"/>
      <c r="G73" s="40"/>
      <c r="H73" s="44">
        <f>17000/24</f>
        <v>708.33333333333337</v>
      </c>
      <c r="I73" s="38">
        <f>H73*24*3.2808^3*288.705/273.15/1000</f>
        <v>634.51411961097142</v>
      </c>
      <c r="J73" s="34">
        <f>I73/0.7302/519.69*2.016/2.2046*1000</f>
        <v>1529.029367102449</v>
      </c>
      <c r="K73" s="57" t="s">
        <v>238</v>
      </c>
      <c r="L73" s="58">
        <v>1994</v>
      </c>
    </row>
    <row r="74" spans="1:12" x14ac:dyDescent="0.2">
      <c r="A74" s="52" t="s">
        <v>4</v>
      </c>
      <c r="B74" s="47" t="s">
        <v>244</v>
      </c>
      <c r="C74" s="40" t="s">
        <v>64</v>
      </c>
      <c r="D74" s="48" t="s">
        <v>307</v>
      </c>
      <c r="E74" s="48" t="s">
        <v>306</v>
      </c>
      <c r="F74" s="40"/>
      <c r="G74" s="40"/>
      <c r="H74" s="38">
        <f>487000/24</f>
        <v>20291.666666666668</v>
      </c>
      <c r="I74" s="38">
        <f>H74*24*3.2808^3*288.705/273.15/1000</f>
        <v>18176.963308855476</v>
      </c>
      <c r="J74" s="34">
        <f>I74/0.7302/519.69*2.016/2.2046*1000</f>
        <v>43802.194222287813</v>
      </c>
      <c r="K74" s="57">
        <v>20</v>
      </c>
      <c r="L74" s="58"/>
    </row>
    <row r="75" spans="1:12" x14ac:dyDescent="0.2">
      <c r="A75" s="52" t="s">
        <v>4</v>
      </c>
      <c r="B75" s="40" t="s">
        <v>72</v>
      </c>
      <c r="C75" s="40" t="s">
        <v>64</v>
      </c>
      <c r="D75" s="40"/>
      <c r="E75" s="40"/>
      <c r="F75" s="40"/>
      <c r="G75" s="40"/>
      <c r="H75" s="37"/>
      <c r="I75" s="37"/>
      <c r="J75" s="37"/>
      <c r="K75" s="57" t="s">
        <v>225</v>
      </c>
      <c r="L75" s="58">
        <v>2011</v>
      </c>
    </row>
    <row r="76" spans="1:12" x14ac:dyDescent="0.2">
      <c r="A76" s="52" t="s">
        <v>4</v>
      </c>
      <c r="B76" s="40" t="s">
        <v>231</v>
      </c>
      <c r="C76" s="40" t="s">
        <v>190</v>
      </c>
      <c r="D76" s="40"/>
      <c r="E76" s="40"/>
      <c r="F76" s="40"/>
      <c r="G76" s="40"/>
      <c r="H76" s="37"/>
      <c r="I76" s="37"/>
      <c r="J76" s="37"/>
      <c r="K76" s="57">
        <v>41</v>
      </c>
      <c r="L76" s="58">
        <v>2008</v>
      </c>
    </row>
    <row r="77" spans="1:12" x14ac:dyDescent="0.2">
      <c r="A77" s="52" t="s">
        <v>4</v>
      </c>
      <c r="B77" s="40" t="s">
        <v>100</v>
      </c>
      <c r="C77" s="40" t="s">
        <v>49</v>
      </c>
      <c r="D77" s="40"/>
      <c r="E77" s="40"/>
      <c r="F77" s="40"/>
      <c r="G77" s="40"/>
      <c r="H77" s="37"/>
      <c r="I77" s="37"/>
      <c r="J77" s="37"/>
      <c r="K77" s="32">
        <v>20</v>
      </c>
      <c r="L77" s="19"/>
    </row>
    <row r="78" spans="1:12" x14ac:dyDescent="0.2">
      <c r="A78" s="52" t="s">
        <v>4</v>
      </c>
      <c r="B78" s="40" t="s">
        <v>102</v>
      </c>
      <c r="C78" s="40" t="s">
        <v>49</v>
      </c>
      <c r="D78" s="40"/>
      <c r="E78" s="40"/>
      <c r="F78" s="40"/>
      <c r="G78" s="40"/>
      <c r="H78" s="37"/>
      <c r="I78" s="37"/>
      <c r="J78" s="37"/>
      <c r="K78" s="32">
        <v>20</v>
      </c>
      <c r="L78" s="19"/>
    </row>
    <row r="79" spans="1:12" x14ac:dyDescent="0.2">
      <c r="A79" s="52" t="s">
        <v>4</v>
      </c>
      <c r="B79" s="40" t="s">
        <v>48</v>
      </c>
      <c r="C79" s="40" t="s">
        <v>49</v>
      </c>
      <c r="D79" s="48" t="s">
        <v>307</v>
      </c>
      <c r="E79" s="48" t="s">
        <v>306</v>
      </c>
      <c r="F79" s="48" t="s">
        <v>281</v>
      </c>
      <c r="G79" s="48" t="s">
        <v>275</v>
      </c>
      <c r="H79" s="38">
        <f>I79*1000/24/3.2808^3*273.15/288.706</f>
        <v>66980.152967247152</v>
      </c>
      <c r="I79" s="38">
        <v>60000</v>
      </c>
      <c r="J79" s="34">
        <f t="shared" ref="J79:J88" si="4">I79/0.7302/519.69*2.016/2.2046*1000</f>
        <v>144585.84795937242</v>
      </c>
      <c r="K79" s="57" t="s">
        <v>101</v>
      </c>
      <c r="L79" s="56">
        <v>2002</v>
      </c>
    </row>
    <row r="80" spans="1:12" x14ac:dyDescent="0.2">
      <c r="A80" s="52" t="s">
        <v>4</v>
      </c>
      <c r="B80" s="40" t="s">
        <v>45</v>
      </c>
      <c r="C80" s="40" t="s">
        <v>46</v>
      </c>
      <c r="D80" s="48" t="s">
        <v>307</v>
      </c>
      <c r="E80" s="40" t="s">
        <v>306</v>
      </c>
      <c r="F80" s="48" t="s">
        <v>280</v>
      </c>
      <c r="G80" s="48" t="s">
        <v>275</v>
      </c>
      <c r="H80" s="38">
        <f>I80*1000/24/3.2808^3*273.15/288.706</f>
        <v>7847.8412559957915</v>
      </c>
      <c r="I80" s="38">
        <v>7030</v>
      </c>
      <c r="J80" s="34">
        <f t="shared" si="4"/>
        <v>16940.641852573135</v>
      </c>
      <c r="K80" s="32" t="s">
        <v>223</v>
      </c>
      <c r="L80" s="19">
        <v>2004</v>
      </c>
    </row>
    <row r="81" spans="1:12" x14ac:dyDescent="0.2">
      <c r="A81" s="52" t="s">
        <v>4</v>
      </c>
      <c r="B81" s="48" t="s">
        <v>354</v>
      </c>
      <c r="C81" s="48" t="s">
        <v>355</v>
      </c>
      <c r="D81" s="37"/>
      <c r="E81" s="48" t="s">
        <v>306</v>
      </c>
      <c r="F81" s="48" t="s">
        <v>357</v>
      </c>
      <c r="G81" s="48" t="s">
        <v>356</v>
      </c>
      <c r="H81" s="38">
        <v>417</v>
      </c>
      <c r="I81" s="38">
        <f>H81*24*3.2808^3*288.705/273.15/1000</f>
        <v>373.54219465097657</v>
      </c>
      <c r="J81" s="34">
        <f>I81/0.7302/519.69*2.016/2.2046*1000</f>
        <v>900.14858270360662</v>
      </c>
      <c r="K81" s="80">
        <v>20</v>
      </c>
      <c r="L81" s="81"/>
    </row>
    <row r="82" spans="1:12" x14ac:dyDescent="0.2">
      <c r="A82" s="52" t="s">
        <v>4</v>
      </c>
      <c r="B82" s="40" t="s">
        <v>158</v>
      </c>
      <c r="C82" s="47" t="s">
        <v>251</v>
      </c>
      <c r="D82" s="47" t="s">
        <v>307</v>
      </c>
      <c r="E82" s="47" t="s">
        <v>306</v>
      </c>
      <c r="F82" s="47"/>
      <c r="G82" s="47"/>
      <c r="H82" s="37">
        <f>12000/24</f>
        <v>500</v>
      </c>
      <c r="I82" s="38">
        <f t="shared" ref="I82:I88" si="5">H82*24*3.2808^3*288.705/273.15/1000</f>
        <v>447.89231972539164</v>
      </c>
      <c r="J82" s="34">
        <f t="shared" si="4"/>
        <v>1079.3148473664348</v>
      </c>
      <c r="K82" s="32">
        <v>20</v>
      </c>
      <c r="L82" s="19"/>
    </row>
    <row r="83" spans="1:12" x14ac:dyDescent="0.2">
      <c r="A83" s="52" t="s">
        <v>4</v>
      </c>
      <c r="B83" s="40" t="s">
        <v>155</v>
      </c>
      <c r="C83" s="47" t="s">
        <v>251</v>
      </c>
      <c r="D83" s="47" t="s">
        <v>313</v>
      </c>
      <c r="E83" s="47" t="s">
        <v>306</v>
      </c>
      <c r="F83" s="47"/>
      <c r="G83" s="47"/>
      <c r="H83" s="37">
        <f>12000/24</f>
        <v>500</v>
      </c>
      <c r="I83" s="38">
        <f t="shared" si="5"/>
        <v>447.89231972539164</v>
      </c>
      <c r="J83" s="34">
        <f t="shared" si="4"/>
        <v>1079.3148473664348</v>
      </c>
      <c r="K83" s="32">
        <v>20</v>
      </c>
      <c r="L83" s="19"/>
    </row>
    <row r="84" spans="1:12" x14ac:dyDescent="0.2">
      <c r="A84" s="52" t="s">
        <v>4</v>
      </c>
      <c r="B84" s="40" t="s">
        <v>154</v>
      </c>
      <c r="C84" s="47" t="s">
        <v>251</v>
      </c>
      <c r="D84" s="47" t="s">
        <v>307</v>
      </c>
      <c r="E84" s="47" t="s">
        <v>306</v>
      </c>
      <c r="F84" s="47" t="s">
        <v>363</v>
      </c>
      <c r="G84" s="47" t="s">
        <v>295</v>
      </c>
      <c r="H84" s="38">
        <f>15000/24</f>
        <v>625</v>
      </c>
      <c r="I84" s="38">
        <f t="shared" si="5"/>
        <v>559.86539965673956</v>
      </c>
      <c r="J84" s="34">
        <f t="shared" si="4"/>
        <v>1349.1435592080436</v>
      </c>
      <c r="K84" s="32">
        <v>20</v>
      </c>
      <c r="L84" s="19"/>
    </row>
    <row r="85" spans="1:12" x14ac:dyDescent="0.2">
      <c r="A85" s="52" t="s">
        <v>4</v>
      </c>
      <c r="B85" s="40" t="s">
        <v>50</v>
      </c>
      <c r="C85" s="47" t="s">
        <v>250</v>
      </c>
      <c r="D85" s="63"/>
      <c r="E85" s="63"/>
      <c r="F85" s="63"/>
      <c r="G85" s="63"/>
      <c r="H85" s="37">
        <f>63000/24</f>
        <v>2625</v>
      </c>
      <c r="I85" s="38">
        <f t="shared" si="5"/>
        <v>2351.4346785583057</v>
      </c>
      <c r="J85" s="34">
        <f t="shared" si="4"/>
        <v>5666.4029486737827</v>
      </c>
      <c r="K85" s="32" t="s">
        <v>101</v>
      </c>
      <c r="L85" s="19">
        <v>2002</v>
      </c>
    </row>
    <row r="86" spans="1:12" x14ac:dyDescent="0.2">
      <c r="A86" s="52" t="s">
        <v>139</v>
      </c>
      <c r="B86" s="40" t="s">
        <v>140</v>
      </c>
      <c r="C86" s="40" t="s">
        <v>23</v>
      </c>
      <c r="D86" s="48" t="s">
        <v>307</v>
      </c>
      <c r="E86" s="48" t="s">
        <v>306</v>
      </c>
      <c r="F86" s="40"/>
      <c r="G86" s="40"/>
      <c r="H86" s="44">
        <f>25000/24</f>
        <v>1041.6666666666667</v>
      </c>
      <c r="I86" s="38">
        <f t="shared" si="5"/>
        <v>933.10899942789911</v>
      </c>
      <c r="J86" s="34">
        <f t="shared" si="4"/>
        <v>2248.5725986800726</v>
      </c>
      <c r="K86" s="32">
        <v>20</v>
      </c>
      <c r="L86" s="19"/>
    </row>
    <row r="87" spans="1:12" x14ac:dyDescent="0.2">
      <c r="A87" s="52" t="s">
        <v>130</v>
      </c>
      <c r="B87" s="40" t="s">
        <v>131</v>
      </c>
      <c r="C87" s="40" t="s">
        <v>23</v>
      </c>
      <c r="D87" s="48" t="s">
        <v>307</v>
      </c>
      <c r="E87" s="48" t="s">
        <v>306</v>
      </c>
      <c r="F87" s="40"/>
      <c r="G87" s="40"/>
      <c r="H87" s="44">
        <f>22000/24</f>
        <v>916.66666666666663</v>
      </c>
      <c r="I87" s="38">
        <f t="shared" si="5"/>
        <v>821.13591949655131</v>
      </c>
      <c r="J87" s="34">
        <f t="shared" si="4"/>
        <v>1978.7438868384638</v>
      </c>
      <c r="K87" s="32">
        <v>20</v>
      </c>
      <c r="L87" s="19"/>
    </row>
    <row r="88" spans="1:12" x14ac:dyDescent="0.2">
      <c r="A88" s="52" t="s">
        <v>135</v>
      </c>
      <c r="B88" s="40" t="s">
        <v>136</v>
      </c>
      <c r="C88" s="40" t="s">
        <v>23</v>
      </c>
      <c r="D88" s="48" t="s">
        <v>307</v>
      </c>
      <c r="E88" s="48" t="s">
        <v>306</v>
      </c>
      <c r="F88" s="40"/>
      <c r="G88" s="40"/>
      <c r="H88" s="38">
        <f>400000/24</f>
        <v>16666.666666666668</v>
      </c>
      <c r="I88" s="38">
        <f t="shared" si="5"/>
        <v>14929.743990846386</v>
      </c>
      <c r="J88" s="34">
        <f t="shared" si="4"/>
        <v>35977.161578881161</v>
      </c>
      <c r="K88" s="32">
        <v>20</v>
      </c>
      <c r="L88" s="19"/>
    </row>
    <row r="89" spans="1:12" x14ac:dyDescent="0.2">
      <c r="A89" s="52" t="s">
        <v>97</v>
      </c>
      <c r="B89" s="40" t="s">
        <v>98</v>
      </c>
      <c r="C89" s="40" t="s">
        <v>49</v>
      </c>
      <c r="D89" s="48" t="s">
        <v>323</v>
      </c>
      <c r="E89" s="48" t="s">
        <v>306</v>
      </c>
      <c r="F89" s="40"/>
      <c r="G89" s="40"/>
      <c r="H89" s="38"/>
      <c r="I89" s="38"/>
      <c r="J89" s="34"/>
      <c r="K89" s="41">
        <v>20</v>
      </c>
      <c r="L89" s="19"/>
    </row>
    <row r="90" spans="1:12" x14ac:dyDescent="0.2">
      <c r="A90" s="54" t="s">
        <v>252</v>
      </c>
      <c r="B90" s="48" t="s">
        <v>253</v>
      </c>
      <c r="C90" s="48" t="s">
        <v>64</v>
      </c>
      <c r="D90" s="48"/>
      <c r="E90" s="48"/>
      <c r="F90" s="48"/>
      <c r="G90" s="48"/>
      <c r="H90" s="38"/>
      <c r="I90" s="38"/>
      <c r="J90" s="34"/>
      <c r="K90" s="41"/>
      <c r="L90" s="58"/>
    </row>
    <row r="91" spans="1:12" x14ac:dyDescent="0.2">
      <c r="A91" s="54" t="s">
        <v>254</v>
      </c>
      <c r="B91" s="47" t="s">
        <v>255</v>
      </c>
      <c r="C91" s="48" t="s">
        <v>49</v>
      </c>
      <c r="D91" s="48"/>
      <c r="E91" s="48"/>
      <c r="F91" s="48"/>
      <c r="G91" s="48"/>
      <c r="H91" s="38"/>
      <c r="I91" s="38"/>
      <c r="J91" s="34"/>
      <c r="K91" s="41"/>
      <c r="L91" s="19"/>
    </row>
    <row r="92" spans="1:12" x14ac:dyDescent="0.2">
      <c r="A92" s="54" t="s">
        <v>217</v>
      </c>
      <c r="B92" s="33" t="s">
        <v>218</v>
      </c>
      <c r="C92" s="47" t="s">
        <v>27</v>
      </c>
      <c r="D92" s="47"/>
      <c r="E92" s="47"/>
      <c r="F92" s="47"/>
      <c r="G92" s="47"/>
      <c r="H92" s="42">
        <f>I92*H94/I94</f>
        <v>634.59703317456672</v>
      </c>
      <c r="I92" s="42">
        <f>J92*I94/J94</f>
        <v>568.46227455881603</v>
      </c>
      <c r="J92" s="34">
        <v>1369.86</v>
      </c>
      <c r="K92" s="41">
        <v>35</v>
      </c>
      <c r="L92" s="53">
        <v>2013</v>
      </c>
    </row>
    <row r="93" spans="1:12" x14ac:dyDescent="0.2">
      <c r="A93" s="54" t="s">
        <v>256</v>
      </c>
      <c r="B93" s="40" t="s">
        <v>148</v>
      </c>
      <c r="C93" s="40" t="s">
        <v>147</v>
      </c>
      <c r="D93" s="40"/>
      <c r="E93" s="40"/>
      <c r="F93" s="40"/>
      <c r="G93" s="40"/>
      <c r="H93" s="38"/>
      <c r="I93" s="38"/>
      <c r="J93" s="34"/>
      <c r="K93" s="41">
        <v>20</v>
      </c>
      <c r="L93" s="58"/>
    </row>
    <row r="94" spans="1:12" x14ac:dyDescent="0.2">
      <c r="A94" s="52" t="s">
        <v>9</v>
      </c>
      <c r="B94" s="40" t="s">
        <v>76</v>
      </c>
      <c r="C94" s="40" t="s">
        <v>75</v>
      </c>
      <c r="D94" s="40"/>
      <c r="E94" s="48" t="s">
        <v>306</v>
      </c>
      <c r="F94" s="48" t="s">
        <v>321</v>
      </c>
      <c r="G94" s="40"/>
      <c r="H94" s="38">
        <f>12000/24</f>
        <v>500</v>
      </c>
      <c r="I94" s="38">
        <f>H94*24*3.2808^3*288.705/273.15/1000</f>
        <v>447.89231972539164</v>
      </c>
      <c r="J94" s="34">
        <f>I94/0.7302/519.69*2.016/2.2046*1000</f>
        <v>1079.3148473664348</v>
      </c>
      <c r="K94" s="41">
        <v>20</v>
      </c>
      <c r="L94" s="58"/>
    </row>
    <row r="95" spans="1:12" x14ac:dyDescent="0.2">
      <c r="A95" s="52" t="s">
        <v>9</v>
      </c>
      <c r="B95" s="40" t="s">
        <v>269</v>
      </c>
      <c r="C95" s="40" t="s">
        <v>105</v>
      </c>
      <c r="D95" s="40"/>
      <c r="E95" s="48" t="s">
        <v>306</v>
      </c>
      <c r="F95" s="40"/>
      <c r="G95" s="40"/>
      <c r="H95" s="38">
        <f>12000/24</f>
        <v>500</v>
      </c>
      <c r="I95" s="38">
        <f>H95*24*3.2808^3*288.705/273.15/1000</f>
        <v>447.89231972539164</v>
      </c>
      <c r="J95" s="34">
        <f>I95/0.7302/519.69*2.016/2.2046*1000</f>
        <v>1079.3148473664348</v>
      </c>
      <c r="K95" s="41">
        <v>20</v>
      </c>
      <c r="L95" s="19"/>
    </row>
    <row r="96" spans="1:12" x14ac:dyDescent="0.2">
      <c r="A96" s="52" t="s">
        <v>9</v>
      </c>
      <c r="B96" s="40" t="s">
        <v>269</v>
      </c>
      <c r="C96" s="40" t="s">
        <v>105</v>
      </c>
      <c r="D96" s="40"/>
      <c r="E96" s="40"/>
      <c r="F96" s="40"/>
      <c r="G96" s="40"/>
      <c r="H96" s="38"/>
      <c r="I96" s="38"/>
      <c r="J96" s="34"/>
      <c r="K96" s="41">
        <v>45</v>
      </c>
      <c r="L96" s="65">
        <v>2016</v>
      </c>
    </row>
    <row r="97" spans="1:12" x14ac:dyDescent="0.2">
      <c r="A97" s="52" t="s">
        <v>9</v>
      </c>
      <c r="B97" s="40" t="s">
        <v>106</v>
      </c>
      <c r="C97" s="40" t="s">
        <v>105</v>
      </c>
      <c r="D97" s="40"/>
      <c r="E97" s="40"/>
      <c r="F97" s="40"/>
      <c r="G97" s="40"/>
      <c r="H97" s="38">
        <f>17000/24</f>
        <v>708.33333333333337</v>
      </c>
      <c r="I97" s="38">
        <f>H97*24*3.2808^3*288.705/273.15/1000</f>
        <v>634.51411961097142</v>
      </c>
      <c r="J97" s="34">
        <f>I97/0.7302/519.69*2.016/2.2046*1000</f>
        <v>1529.029367102449</v>
      </c>
      <c r="K97" s="41">
        <v>20</v>
      </c>
      <c r="L97" s="19"/>
    </row>
    <row r="98" spans="1:12" x14ac:dyDescent="0.2">
      <c r="A98" s="52" t="s">
        <v>9</v>
      </c>
      <c r="B98" s="40" t="s">
        <v>113</v>
      </c>
      <c r="C98" s="40" t="s">
        <v>52</v>
      </c>
      <c r="D98" s="48" t="s">
        <v>307</v>
      </c>
      <c r="E98" s="48" t="s">
        <v>306</v>
      </c>
      <c r="F98" s="48" t="s">
        <v>339</v>
      </c>
      <c r="G98" s="48" t="s">
        <v>295</v>
      </c>
      <c r="H98" s="38">
        <f>500000/24</f>
        <v>20833.333333333332</v>
      </c>
      <c r="I98" s="38">
        <f>H98*24*3.2808^3*288.705/273.15/1000</f>
        <v>18662.179988557986</v>
      </c>
      <c r="J98" s="34">
        <f>I98/0.7302/519.69*2.016/2.2046*1000</f>
        <v>44971.451973601455</v>
      </c>
      <c r="K98" s="41">
        <v>20</v>
      </c>
      <c r="L98" s="19"/>
    </row>
    <row r="99" spans="1:12" x14ac:dyDescent="0.2">
      <c r="A99" s="52" t="s">
        <v>9</v>
      </c>
      <c r="B99" s="48" t="s">
        <v>247</v>
      </c>
      <c r="C99" s="48" t="s">
        <v>52</v>
      </c>
      <c r="D99" s="47" t="s">
        <v>323</v>
      </c>
      <c r="E99" s="47" t="s">
        <v>306</v>
      </c>
      <c r="F99" s="48"/>
      <c r="G99" s="48"/>
      <c r="H99" s="38">
        <v>8333</v>
      </c>
      <c r="I99" s="38">
        <f>H99*24*3.2808^3*288.705/273.15/1000</f>
        <v>7464.5734005433769</v>
      </c>
      <c r="J99" s="34">
        <f>I99/0.7302/519.69*2.016/2.2046*1000</f>
        <v>17987.861246209006</v>
      </c>
      <c r="K99" s="57">
        <v>20</v>
      </c>
      <c r="L99" s="19"/>
    </row>
    <row r="100" spans="1:12" x14ac:dyDescent="0.2">
      <c r="A100" s="52" t="s">
        <v>9</v>
      </c>
      <c r="B100" s="40" t="s">
        <v>59</v>
      </c>
      <c r="C100" s="40" t="s">
        <v>52</v>
      </c>
      <c r="D100" s="37"/>
      <c r="E100" s="37"/>
      <c r="F100" s="37"/>
      <c r="G100" s="37"/>
      <c r="H100" s="38"/>
      <c r="I100" s="38"/>
      <c r="J100" s="38"/>
      <c r="K100" s="32">
        <v>17</v>
      </c>
      <c r="L100" s="19">
        <v>1999</v>
      </c>
    </row>
    <row r="101" spans="1:12" x14ac:dyDescent="0.2">
      <c r="A101" s="52" t="s">
        <v>9</v>
      </c>
      <c r="B101" s="40" t="s">
        <v>83</v>
      </c>
      <c r="C101" s="40" t="s">
        <v>27</v>
      </c>
      <c r="D101" s="48" t="s">
        <v>323</v>
      </c>
      <c r="E101" s="48" t="s">
        <v>306</v>
      </c>
      <c r="F101" s="40"/>
      <c r="G101" s="40"/>
      <c r="H101" s="38">
        <v>35000</v>
      </c>
      <c r="I101" s="38">
        <f>H101*24*3.2808^3*288.705/273.15/1000</f>
        <v>31352.462380777411</v>
      </c>
      <c r="J101" s="34">
        <f>I101/0.7302/519.69*2.016/2.2046*1000</f>
        <v>75552.039315650429</v>
      </c>
      <c r="K101" s="57" t="s">
        <v>316</v>
      </c>
      <c r="L101" s="58">
        <v>2003</v>
      </c>
    </row>
    <row r="102" spans="1:12" x14ac:dyDescent="0.2">
      <c r="A102" s="52" t="s">
        <v>9</v>
      </c>
      <c r="B102" s="40" t="s">
        <v>80</v>
      </c>
      <c r="C102" s="40" t="s">
        <v>27</v>
      </c>
      <c r="D102" s="48" t="s">
        <v>307</v>
      </c>
      <c r="E102" s="48" t="s">
        <v>304</v>
      </c>
      <c r="F102" s="48" t="s">
        <v>324</v>
      </c>
      <c r="G102" s="47" t="s">
        <v>325</v>
      </c>
      <c r="H102" s="38"/>
      <c r="I102" s="38"/>
      <c r="J102" s="34"/>
      <c r="K102" s="32">
        <v>20</v>
      </c>
      <c r="L102" s="19"/>
    </row>
    <row r="103" spans="1:12" x14ac:dyDescent="0.2">
      <c r="A103" s="52" t="s">
        <v>9</v>
      </c>
      <c r="B103" s="40" t="s">
        <v>85</v>
      </c>
      <c r="C103" s="40" t="s">
        <v>27</v>
      </c>
      <c r="D103" s="48" t="s">
        <v>307</v>
      </c>
      <c r="E103" s="48" t="s">
        <v>306</v>
      </c>
      <c r="F103" s="48" t="s">
        <v>327</v>
      </c>
      <c r="G103" s="48" t="s">
        <v>295</v>
      </c>
      <c r="H103" s="38">
        <f>480000/24</f>
        <v>20000</v>
      </c>
      <c r="I103" s="38">
        <f t="shared" ref="I103:I113" si="6">H103*24*3.2808^3*288.705/273.15/1000</f>
        <v>17915.692789015666</v>
      </c>
      <c r="J103" s="34">
        <f t="shared" ref="J103:J113" si="7">I103/0.7302/519.69*2.016/2.2046*1000</f>
        <v>43172.593894657395</v>
      </c>
      <c r="K103" s="32">
        <v>20</v>
      </c>
      <c r="L103" s="19"/>
    </row>
    <row r="104" spans="1:12" x14ac:dyDescent="0.2">
      <c r="A104" s="52" t="s">
        <v>9</v>
      </c>
      <c r="B104" s="40" t="s">
        <v>90</v>
      </c>
      <c r="C104" s="40" t="s">
        <v>27</v>
      </c>
      <c r="D104" s="40"/>
      <c r="E104" s="40"/>
      <c r="F104" s="40"/>
      <c r="G104" s="40"/>
      <c r="H104" s="38">
        <f>178000/24</f>
        <v>7416.666666666667</v>
      </c>
      <c r="I104" s="38">
        <f t="shared" si="6"/>
        <v>6643.736075926643</v>
      </c>
      <c r="J104" s="34">
        <f t="shared" si="7"/>
        <v>16009.836902602117</v>
      </c>
      <c r="K104" s="32">
        <v>20</v>
      </c>
      <c r="L104" s="19"/>
    </row>
    <row r="105" spans="1:12" x14ac:dyDescent="0.2">
      <c r="A105" s="52" t="s">
        <v>9</v>
      </c>
      <c r="B105" s="40" t="s">
        <v>90</v>
      </c>
      <c r="C105" s="40" t="s">
        <v>27</v>
      </c>
      <c r="D105" s="40"/>
      <c r="E105" s="40"/>
      <c r="F105" s="40"/>
      <c r="G105" s="40"/>
      <c r="H105" s="38">
        <v>11000</v>
      </c>
      <c r="I105" s="38">
        <f t="shared" si="6"/>
        <v>9853.6310339586162</v>
      </c>
      <c r="J105" s="34">
        <f t="shared" si="7"/>
        <v>23744.926642061568</v>
      </c>
      <c r="K105" s="32">
        <v>26</v>
      </c>
      <c r="L105" s="19">
        <v>2008</v>
      </c>
    </row>
    <row r="106" spans="1:12" x14ac:dyDescent="0.2">
      <c r="A106" s="52" t="s">
        <v>9</v>
      </c>
      <c r="B106" s="40" t="s">
        <v>29</v>
      </c>
      <c r="C106" s="40" t="s">
        <v>27</v>
      </c>
      <c r="D106" s="37"/>
      <c r="E106" s="37"/>
      <c r="F106" s="37"/>
      <c r="G106" s="37"/>
      <c r="H106" s="38">
        <v>18000</v>
      </c>
      <c r="I106" s="38">
        <f t="shared" si="6"/>
        <v>16124.123510114097</v>
      </c>
      <c r="J106" s="34">
        <f t="shared" si="7"/>
        <v>38855.334505191648</v>
      </c>
      <c r="K106" s="32">
        <v>4</v>
      </c>
      <c r="L106" s="19">
        <v>2005</v>
      </c>
    </row>
    <row r="107" spans="1:12" x14ac:dyDescent="0.2">
      <c r="A107" s="52" t="s">
        <v>9</v>
      </c>
      <c r="B107" s="40" t="s">
        <v>266</v>
      </c>
      <c r="C107" s="40" t="s">
        <v>27</v>
      </c>
      <c r="D107" s="37"/>
      <c r="E107" s="37"/>
      <c r="F107" s="48" t="s">
        <v>274</v>
      </c>
      <c r="G107" s="48" t="s">
        <v>275</v>
      </c>
      <c r="H107" s="38">
        <v>16667</v>
      </c>
      <c r="I107" s="38">
        <f>H107*24*3.2808^3*288.705/273.15/1000</f>
        <v>14930.042585726205</v>
      </c>
      <c r="J107" s="34">
        <f>I107/0.7302/519.69*2.016/2.2046*1000</f>
        <v>35977.881122112747</v>
      </c>
      <c r="K107" s="64">
        <v>44</v>
      </c>
      <c r="L107" s="65">
        <v>2015</v>
      </c>
    </row>
    <row r="108" spans="1:12" x14ac:dyDescent="0.2">
      <c r="A108" s="52" t="s">
        <v>9</v>
      </c>
      <c r="B108" s="40" t="s">
        <v>89</v>
      </c>
      <c r="C108" s="40" t="s">
        <v>27</v>
      </c>
      <c r="D108" s="48" t="s">
        <v>307</v>
      </c>
      <c r="E108" s="48" t="s">
        <v>306</v>
      </c>
      <c r="F108" s="37"/>
      <c r="G108" s="37"/>
      <c r="H108" s="38">
        <v>35000</v>
      </c>
      <c r="I108" s="38">
        <f t="shared" si="6"/>
        <v>31352.462380777411</v>
      </c>
      <c r="J108" s="34">
        <f t="shared" si="7"/>
        <v>75552.039315650429</v>
      </c>
      <c r="K108" s="32">
        <v>20</v>
      </c>
      <c r="L108" s="19"/>
    </row>
    <row r="109" spans="1:12" x14ac:dyDescent="0.2">
      <c r="A109" s="52" t="s">
        <v>9</v>
      </c>
      <c r="B109" s="40" t="s">
        <v>206</v>
      </c>
      <c r="C109" s="40" t="s">
        <v>27</v>
      </c>
      <c r="D109" s="40"/>
      <c r="E109" s="40"/>
      <c r="F109" s="40"/>
      <c r="G109" s="40"/>
      <c r="H109" s="42">
        <v>50000</v>
      </c>
      <c r="I109" s="42">
        <f t="shared" si="6"/>
        <v>44789.231972539164</v>
      </c>
      <c r="J109" s="34">
        <f t="shared" si="7"/>
        <v>107931.48473664348</v>
      </c>
      <c r="K109" s="41">
        <v>33</v>
      </c>
      <c r="L109" s="53"/>
    </row>
    <row r="110" spans="1:12" x14ac:dyDescent="0.2">
      <c r="A110" s="52" t="s">
        <v>9</v>
      </c>
      <c r="B110" s="40" t="s">
        <v>33</v>
      </c>
      <c r="C110" s="40" t="s">
        <v>27</v>
      </c>
      <c r="D110" s="37"/>
      <c r="E110" s="37"/>
      <c r="F110" s="37"/>
      <c r="G110" s="37"/>
      <c r="H110" s="38">
        <v>15000</v>
      </c>
      <c r="I110" s="38">
        <f t="shared" si="6"/>
        <v>13436.769591761751</v>
      </c>
      <c r="J110" s="34">
        <f t="shared" si="7"/>
        <v>32379.445420993052</v>
      </c>
      <c r="K110" s="32" t="s">
        <v>84</v>
      </c>
      <c r="L110" s="19"/>
    </row>
    <row r="111" spans="1:12" x14ac:dyDescent="0.2">
      <c r="A111" s="52" t="s">
        <v>9</v>
      </c>
      <c r="B111" s="40" t="s">
        <v>33</v>
      </c>
      <c r="C111" s="40" t="s">
        <v>27</v>
      </c>
      <c r="D111" s="47" t="s">
        <v>330</v>
      </c>
      <c r="E111" s="48" t="s">
        <v>306</v>
      </c>
      <c r="F111" s="37"/>
      <c r="G111" s="37"/>
      <c r="H111" s="38">
        <f>1000000/24</f>
        <v>41666.666666666664</v>
      </c>
      <c r="I111" s="38">
        <f t="shared" si="6"/>
        <v>37324.359977115972</v>
      </c>
      <c r="J111" s="34">
        <f t="shared" si="7"/>
        <v>89942.903947202911</v>
      </c>
      <c r="K111" s="32" t="s">
        <v>84</v>
      </c>
      <c r="L111" s="19"/>
    </row>
    <row r="112" spans="1:12" x14ac:dyDescent="0.2">
      <c r="A112" s="52" t="s">
        <v>9</v>
      </c>
      <c r="B112" s="40" t="s">
        <v>33</v>
      </c>
      <c r="C112" s="40" t="s">
        <v>27</v>
      </c>
      <c r="D112" s="48" t="s">
        <v>307</v>
      </c>
      <c r="E112" s="48" t="s">
        <v>306</v>
      </c>
      <c r="F112" s="48" t="s">
        <v>360</v>
      </c>
      <c r="G112" s="48" t="s">
        <v>295</v>
      </c>
      <c r="H112" s="38">
        <f>1000000/24</f>
        <v>41666.666666666664</v>
      </c>
      <c r="I112" s="38">
        <f t="shared" si="6"/>
        <v>37324.359977115972</v>
      </c>
      <c r="J112" s="34">
        <f t="shared" si="7"/>
        <v>89942.903947202911</v>
      </c>
      <c r="K112" s="32" t="s">
        <v>84</v>
      </c>
      <c r="L112" s="19"/>
    </row>
    <row r="113" spans="1:12" x14ac:dyDescent="0.2">
      <c r="A113" s="52" t="s">
        <v>9</v>
      </c>
      <c r="B113" s="40" t="s">
        <v>33</v>
      </c>
      <c r="C113" s="40" t="s">
        <v>27</v>
      </c>
      <c r="D113" s="48" t="s">
        <v>307</v>
      </c>
      <c r="E113" s="47" t="s">
        <v>306</v>
      </c>
      <c r="F113" s="37"/>
      <c r="G113" s="37"/>
      <c r="H113" s="38">
        <f>1000000/24</f>
        <v>41666.666666666664</v>
      </c>
      <c r="I113" s="38">
        <f t="shared" si="6"/>
        <v>37324.359977115972</v>
      </c>
      <c r="J113" s="34">
        <f t="shared" si="7"/>
        <v>89942.903947202911</v>
      </c>
      <c r="K113" s="32" t="s">
        <v>84</v>
      </c>
      <c r="L113" s="19">
        <v>2002</v>
      </c>
    </row>
    <row r="114" spans="1:12" x14ac:dyDescent="0.2">
      <c r="A114" s="52" t="s">
        <v>9</v>
      </c>
      <c r="B114" s="40" t="s">
        <v>120</v>
      </c>
      <c r="C114" s="40" t="s">
        <v>119</v>
      </c>
      <c r="D114" s="48" t="s">
        <v>318</v>
      </c>
      <c r="E114" s="48" t="s">
        <v>306</v>
      </c>
      <c r="F114" s="40"/>
      <c r="G114" s="40"/>
      <c r="H114" s="38"/>
      <c r="I114" s="38"/>
      <c r="J114" s="34"/>
      <c r="K114" s="57">
        <v>20</v>
      </c>
      <c r="L114" s="58"/>
    </row>
    <row r="115" spans="1:12" x14ac:dyDescent="0.2">
      <c r="A115" s="52" t="s">
        <v>9</v>
      </c>
      <c r="B115" s="40" t="s">
        <v>35</v>
      </c>
      <c r="C115" s="40" t="s">
        <v>36</v>
      </c>
      <c r="E115" s="37"/>
      <c r="F115" s="48" t="s">
        <v>290</v>
      </c>
      <c r="G115" s="37"/>
      <c r="H115" s="37"/>
      <c r="I115" s="38"/>
      <c r="J115" s="34"/>
      <c r="K115" s="32">
        <v>7</v>
      </c>
      <c r="L115" s="19">
        <v>2001</v>
      </c>
    </row>
    <row r="116" spans="1:12" x14ac:dyDescent="0.2">
      <c r="A116" s="52" t="s">
        <v>9</v>
      </c>
      <c r="B116" s="40" t="s">
        <v>35</v>
      </c>
      <c r="C116" s="40" t="s">
        <v>36</v>
      </c>
      <c r="D116" s="48" t="s">
        <v>307</v>
      </c>
      <c r="E116" s="48" t="s">
        <v>304</v>
      </c>
      <c r="F116" s="48" t="s">
        <v>290</v>
      </c>
      <c r="G116" s="48" t="s">
        <v>295</v>
      </c>
      <c r="H116" s="42">
        <f>90000/24</f>
        <v>3750</v>
      </c>
      <c r="I116" s="38">
        <f t="shared" ref="I116:I131" si="8">H116*24*3.2808^3*288.705/273.15/1000</f>
        <v>3359.1923979404378</v>
      </c>
      <c r="J116" s="34">
        <f t="shared" ref="J116:J131" si="9">I116/0.7302/519.69*2.016/2.2046*1000</f>
        <v>8094.861355248263</v>
      </c>
      <c r="K116" s="32" t="s">
        <v>121</v>
      </c>
      <c r="L116" s="19">
        <v>2005</v>
      </c>
    </row>
    <row r="117" spans="1:12" x14ac:dyDescent="0.2">
      <c r="A117" s="52" t="s">
        <v>9</v>
      </c>
      <c r="B117" s="40" t="s">
        <v>35</v>
      </c>
      <c r="C117" s="40" t="s">
        <v>36</v>
      </c>
      <c r="D117" s="37"/>
      <c r="E117" s="37"/>
      <c r="F117" s="48" t="s">
        <v>290</v>
      </c>
      <c r="G117" s="37"/>
      <c r="H117" s="42"/>
      <c r="I117" s="38"/>
      <c r="J117" s="34"/>
      <c r="K117" s="60"/>
      <c r="L117" s="61">
        <v>2012</v>
      </c>
    </row>
    <row r="118" spans="1:12" x14ac:dyDescent="0.2">
      <c r="A118" s="52" t="s">
        <v>9</v>
      </c>
      <c r="B118" s="40" t="s">
        <v>122</v>
      </c>
      <c r="C118" s="40" t="s">
        <v>123</v>
      </c>
      <c r="D118" s="48" t="s">
        <v>318</v>
      </c>
      <c r="E118" s="48" t="s">
        <v>306</v>
      </c>
      <c r="F118" s="40"/>
      <c r="G118" s="40"/>
      <c r="H118" s="37">
        <f>2400/24</f>
        <v>100</v>
      </c>
      <c r="I118" s="38">
        <f t="shared" si="8"/>
        <v>89.578463945078326</v>
      </c>
      <c r="J118" s="34">
        <f t="shared" si="9"/>
        <v>215.86296947328697</v>
      </c>
      <c r="K118" s="32">
        <v>20</v>
      </c>
      <c r="L118" s="19"/>
    </row>
    <row r="119" spans="1:12" x14ac:dyDescent="0.2">
      <c r="A119" s="52" t="s">
        <v>9</v>
      </c>
      <c r="B119" s="40" t="s">
        <v>141</v>
      </c>
      <c r="C119" s="40" t="s">
        <v>23</v>
      </c>
      <c r="D119" s="48" t="s">
        <v>307</v>
      </c>
      <c r="E119" s="48" t="s">
        <v>306</v>
      </c>
      <c r="F119" s="48" t="s">
        <v>343</v>
      </c>
      <c r="G119" s="40"/>
      <c r="H119" s="42">
        <v>53000</v>
      </c>
      <c r="I119" s="38">
        <f t="shared" si="8"/>
        <v>47476.585890891518</v>
      </c>
      <c r="J119" s="34">
        <f t="shared" si="9"/>
        <v>114407.37382084211</v>
      </c>
      <c r="K119" s="32">
        <v>20</v>
      </c>
      <c r="L119" s="19">
        <v>1997</v>
      </c>
    </row>
    <row r="120" spans="1:12" x14ac:dyDescent="0.2">
      <c r="A120" s="52" t="s">
        <v>9</v>
      </c>
      <c r="B120" s="40" t="s">
        <v>209</v>
      </c>
      <c r="C120" s="40" t="s">
        <v>23</v>
      </c>
      <c r="D120" s="40"/>
      <c r="E120" s="40"/>
      <c r="F120" s="40"/>
      <c r="G120" s="40"/>
      <c r="H120" s="42">
        <v>56000</v>
      </c>
      <c r="I120" s="42">
        <f t="shared" si="8"/>
        <v>50163.939809243864</v>
      </c>
      <c r="J120" s="34">
        <f t="shared" si="9"/>
        <v>120883.2629050407</v>
      </c>
      <c r="K120" s="41">
        <v>33</v>
      </c>
      <c r="L120" s="53"/>
    </row>
    <row r="121" spans="1:12" x14ac:dyDescent="0.2">
      <c r="A121" s="52" t="s">
        <v>9</v>
      </c>
      <c r="B121" s="40" t="s">
        <v>124</v>
      </c>
      <c r="C121" s="40" t="s">
        <v>23</v>
      </c>
      <c r="D121" s="40"/>
      <c r="E121" s="40"/>
      <c r="F121" s="40"/>
      <c r="G121" s="40"/>
      <c r="H121" s="42">
        <f>24000/24</f>
        <v>1000</v>
      </c>
      <c r="I121" s="38">
        <f t="shared" si="8"/>
        <v>895.78463945078329</v>
      </c>
      <c r="J121" s="34">
        <f t="shared" si="9"/>
        <v>2158.6296947328697</v>
      </c>
      <c r="K121" s="32">
        <v>20</v>
      </c>
      <c r="L121" s="19"/>
    </row>
    <row r="122" spans="1:12" x14ac:dyDescent="0.2">
      <c r="A122" s="52" t="s">
        <v>9</v>
      </c>
      <c r="B122" s="40" t="s">
        <v>210</v>
      </c>
      <c r="C122" s="40" t="s">
        <v>49</v>
      </c>
      <c r="D122" s="40"/>
      <c r="E122" s="40"/>
      <c r="F122" s="40"/>
      <c r="G122" s="40"/>
      <c r="H122" s="42">
        <v>55000</v>
      </c>
      <c r="I122" s="42">
        <f t="shared" si="8"/>
        <v>49268.155169793077</v>
      </c>
      <c r="J122" s="34">
        <f t="shared" si="9"/>
        <v>118724.63321030782</v>
      </c>
      <c r="K122" s="41">
        <v>33</v>
      </c>
      <c r="L122" s="53"/>
    </row>
    <row r="123" spans="1:12" x14ac:dyDescent="0.2">
      <c r="A123" s="52" t="s">
        <v>9</v>
      </c>
      <c r="B123" s="40" t="s">
        <v>211</v>
      </c>
      <c r="C123" s="40" t="s">
        <v>49</v>
      </c>
      <c r="D123" s="40"/>
      <c r="E123" s="40"/>
      <c r="F123" s="40"/>
      <c r="G123" s="40"/>
      <c r="H123" s="42">
        <v>70000</v>
      </c>
      <c r="I123" s="42">
        <f t="shared" si="8"/>
        <v>62704.924761554823</v>
      </c>
      <c r="J123" s="34">
        <f t="shared" si="9"/>
        <v>151104.07863130086</v>
      </c>
      <c r="K123" s="41">
        <v>33</v>
      </c>
      <c r="L123" s="53"/>
    </row>
    <row r="124" spans="1:12" x14ac:dyDescent="0.2">
      <c r="A124" s="52" t="s">
        <v>9</v>
      </c>
      <c r="B124" s="40" t="s">
        <v>182</v>
      </c>
      <c r="C124" s="40" t="s">
        <v>149</v>
      </c>
      <c r="D124" s="40"/>
      <c r="E124" s="40"/>
      <c r="F124" s="40"/>
      <c r="G124" s="40"/>
      <c r="H124" s="42">
        <f>5000/24</f>
        <v>208.33333333333334</v>
      </c>
      <c r="I124" s="38">
        <f t="shared" si="8"/>
        <v>186.62179988557986</v>
      </c>
      <c r="J124" s="34">
        <f t="shared" si="9"/>
        <v>449.71451973601455</v>
      </c>
      <c r="K124" s="32">
        <v>20</v>
      </c>
      <c r="L124" s="19"/>
    </row>
    <row r="125" spans="1:12" x14ac:dyDescent="0.2">
      <c r="A125" s="52" t="s">
        <v>9</v>
      </c>
      <c r="B125" s="40" t="s">
        <v>150</v>
      </c>
      <c r="C125" s="40" t="s">
        <v>149</v>
      </c>
      <c r="D125" s="40"/>
      <c r="E125" s="40"/>
      <c r="F125" s="40"/>
      <c r="G125" s="40"/>
      <c r="H125" s="42">
        <f>7000/24</f>
        <v>291.66666666666669</v>
      </c>
      <c r="I125" s="38">
        <f t="shared" si="8"/>
        <v>261.27051983981175</v>
      </c>
      <c r="J125" s="34">
        <f t="shared" si="9"/>
        <v>629.60032763042022</v>
      </c>
      <c r="K125" s="32">
        <v>20</v>
      </c>
      <c r="L125" s="19"/>
    </row>
    <row r="126" spans="1:12" x14ac:dyDescent="0.2">
      <c r="A126" s="52" t="s">
        <v>9</v>
      </c>
      <c r="B126" s="40" t="s">
        <v>151</v>
      </c>
      <c r="C126" s="40" t="s">
        <v>149</v>
      </c>
      <c r="D126" s="40"/>
      <c r="E126" s="40"/>
      <c r="F126" s="40"/>
      <c r="G126" s="40"/>
      <c r="H126" s="42">
        <f>6000/24</f>
        <v>250</v>
      </c>
      <c r="I126" s="38">
        <f t="shared" si="8"/>
        <v>223.94615986269582</v>
      </c>
      <c r="J126" s="34">
        <f t="shared" si="9"/>
        <v>539.65742368321742</v>
      </c>
      <c r="K126" s="32">
        <v>20</v>
      </c>
      <c r="L126" s="19"/>
    </row>
    <row r="127" spans="1:12" x14ac:dyDescent="0.2">
      <c r="A127" s="52" t="s">
        <v>9</v>
      </c>
      <c r="B127" s="40" t="s">
        <v>152</v>
      </c>
      <c r="C127" s="40" t="s">
        <v>149</v>
      </c>
      <c r="D127" s="40"/>
      <c r="E127" s="40"/>
      <c r="F127" s="40"/>
      <c r="G127" s="40"/>
      <c r="H127" s="42">
        <f>3000/24</f>
        <v>125</v>
      </c>
      <c r="I127" s="38">
        <f t="shared" si="8"/>
        <v>111.97307993134791</v>
      </c>
      <c r="J127" s="34">
        <f t="shared" si="9"/>
        <v>269.82871184160871</v>
      </c>
      <c r="K127" s="32">
        <v>20</v>
      </c>
      <c r="L127" s="19"/>
    </row>
    <row r="128" spans="1:12" x14ac:dyDescent="0.2">
      <c r="A128" s="52" t="s">
        <v>317</v>
      </c>
      <c r="B128" s="40" t="s">
        <v>160</v>
      </c>
      <c r="C128" s="47" t="s">
        <v>251</v>
      </c>
      <c r="D128" s="47" t="s">
        <v>307</v>
      </c>
      <c r="E128" s="47"/>
      <c r="F128" s="47"/>
      <c r="G128" s="47"/>
      <c r="H128" s="42">
        <f>12000/24</f>
        <v>500</v>
      </c>
      <c r="I128" s="38">
        <f t="shared" si="8"/>
        <v>447.89231972539164</v>
      </c>
      <c r="J128" s="34">
        <f t="shared" si="9"/>
        <v>1079.3148473664348</v>
      </c>
      <c r="K128" s="32">
        <v>20</v>
      </c>
      <c r="L128" s="19"/>
    </row>
    <row r="129" spans="1:12" x14ac:dyDescent="0.2">
      <c r="A129" s="52" t="s">
        <v>317</v>
      </c>
      <c r="B129" s="40" t="s">
        <v>157</v>
      </c>
      <c r="C129" s="47" t="s">
        <v>251</v>
      </c>
      <c r="D129" s="47" t="s">
        <v>307</v>
      </c>
      <c r="E129" s="47"/>
      <c r="F129" s="47"/>
      <c r="G129" s="47"/>
      <c r="H129" s="42">
        <f>26000/24</f>
        <v>1083.3333333333333</v>
      </c>
      <c r="I129" s="38">
        <f t="shared" si="8"/>
        <v>970.43335940501515</v>
      </c>
      <c r="J129" s="34">
        <f t="shared" si="9"/>
        <v>2338.5155026272755</v>
      </c>
      <c r="K129" s="32">
        <v>20</v>
      </c>
      <c r="L129" s="19"/>
    </row>
    <row r="130" spans="1:12" x14ac:dyDescent="0.2">
      <c r="A130" s="52" t="s">
        <v>317</v>
      </c>
      <c r="B130" s="40" t="s">
        <v>161</v>
      </c>
      <c r="C130" s="47" t="s">
        <v>251</v>
      </c>
      <c r="D130" s="47"/>
      <c r="E130" s="47"/>
      <c r="F130" s="47" t="s">
        <v>353</v>
      </c>
      <c r="G130" s="47" t="s">
        <v>350</v>
      </c>
      <c r="H130" s="42">
        <f>24000/24</f>
        <v>1000</v>
      </c>
      <c r="I130" s="38">
        <f t="shared" si="8"/>
        <v>895.78463945078329</v>
      </c>
      <c r="J130" s="34">
        <f t="shared" si="9"/>
        <v>2158.6296947328697</v>
      </c>
      <c r="K130" s="32">
        <v>20</v>
      </c>
      <c r="L130" s="19"/>
    </row>
    <row r="131" spans="1:12" x14ac:dyDescent="0.2">
      <c r="A131" s="52" t="s">
        <v>317</v>
      </c>
      <c r="B131" s="40" t="s">
        <v>159</v>
      </c>
      <c r="C131" s="47" t="s">
        <v>251</v>
      </c>
      <c r="D131" s="47" t="s">
        <v>307</v>
      </c>
      <c r="E131" s="47"/>
      <c r="F131" s="47"/>
      <c r="G131" s="47"/>
      <c r="H131" s="42">
        <f>31000/24</f>
        <v>1291.6666666666667</v>
      </c>
      <c r="I131" s="38">
        <f t="shared" si="8"/>
        <v>1157.0551592905949</v>
      </c>
      <c r="J131" s="34">
        <f t="shared" si="9"/>
        <v>2788.2300223632897</v>
      </c>
      <c r="K131" s="32">
        <v>20</v>
      </c>
      <c r="L131" s="19"/>
    </row>
    <row r="132" spans="1:12" x14ac:dyDescent="0.2">
      <c r="A132" s="52" t="s">
        <v>317</v>
      </c>
      <c r="B132" s="40" t="s">
        <v>34</v>
      </c>
      <c r="C132" s="47" t="s">
        <v>251</v>
      </c>
      <c r="D132" s="47" t="s">
        <v>307</v>
      </c>
      <c r="E132" s="47" t="s">
        <v>306</v>
      </c>
      <c r="F132" s="47" t="s">
        <v>349</v>
      </c>
      <c r="G132" s="47" t="s">
        <v>350</v>
      </c>
      <c r="H132" s="38">
        <v>41000</v>
      </c>
      <c r="I132" s="42">
        <f>H132*24*3.2808^3*288.705/273.15/1000</f>
        <v>36727.170217482111</v>
      </c>
      <c r="J132" s="34">
        <f>I132/0.7302/519.69*2.016/2.2046*1000</f>
        <v>88503.817484047642</v>
      </c>
      <c r="K132" s="32" t="s">
        <v>153</v>
      </c>
      <c r="L132" s="19">
        <v>2002</v>
      </c>
    </row>
    <row r="133" spans="1:12" x14ac:dyDescent="0.2">
      <c r="A133" s="52" t="s">
        <v>317</v>
      </c>
      <c r="B133" s="40" t="s">
        <v>41</v>
      </c>
      <c r="C133" s="47" t="s">
        <v>251</v>
      </c>
      <c r="D133" s="47" t="s">
        <v>307</v>
      </c>
      <c r="E133" s="47" t="s">
        <v>306</v>
      </c>
      <c r="F133" s="47" t="s">
        <v>351</v>
      </c>
      <c r="G133" s="47" t="s">
        <v>352</v>
      </c>
      <c r="H133" s="44">
        <f>55000/24</f>
        <v>2291.6666666666665</v>
      </c>
      <c r="I133" s="38">
        <f>H133*24*3.2808^3*288.705/273.15/1000</f>
        <v>2052.8397987413782</v>
      </c>
      <c r="J133" s="34">
        <f>I133/0.7302/519.69*2.016/2.2046*1000</f>
        <v>4946.8597170961593</v>
      </c>
      <c r="K133" s="32" t="s">
        <v>156</v>
      </c>
      <c r="L133" s="19"/>
    </row>
    <row r="134" spans="1:12" x14ac:dyDescent="0.2">
      <c r="A134" s="52" t="s">
        <v>317</v>
      </c>
      <c r="B134" s="40" t="s">
        <v>39</v>
      </c>
      <c r="C134" s="47" t="s">
        <v>251</v>
      </c>
      <c r="D134" s="47"/>
      <c r="E134" s="47"/>
      <c r="F134" s="47"/>
      <c r="G134" s="47"/>
      <c r="H134" s="37">
        <v>1600</v>
      </c>
      <c r="I134" s="38">
        <f>H134*24*3.2808^3*288.705/273.15/1000</f>
        <v>1433.2554231212532</v>
      </c>
      <c r="J134" s="34">
        <f>I134/0.7302/519.69*2.016/2.2046*1000</f>
        <v>3453.8075115725915</v>
      </c>
      <c r="K134" s="32">
        <v>8</v>
      </c>
      <c r="L134" s="19"/>
    </row>
    <row r="135" spans="1:12" x14ac:dyDescent="0.2">
      <c r="A135" s="54" t="s">
        <v>192</v>
      </c>
      <c r="B135" s="40" t="s">
        <v>73</v>
      </c>
      <c r="C135" s="40" t="s">
        <v>75</v>
      </c>
      <c r="D135" s="40"/>
      <c r="E135" s="40"/>
      <c r="F135" s="40"/>
      <c r="G135" s="40"/>
      <c r="H135" s="37"/>
      <c r="I135" s="37"/>
      <c r="J135" s="37"/>
      <c r="K135" s="41">
        <v>20</v>
      </c>
      <c r="L135" s="19"/>
    </row>
    <row r="136" spans="1:12" x14ac:dyDescent="0.2">
      <c r="A136" s="54" t="s">
        <v>192</v>
      </c>
      <c r="B136" s="40" t="s">
        <v>212</v>
      </c>
      <c r="C136" s="40" t="s">
        <v>75</v>
      </c>
      <c r="D136" s="40"/>
      <c r="E136" s="40"/>
      <c r="F136" s="40"/>
      <c r="G136" s="40"/>
      <c r="H136" s="40"/>
      <c r="I136" s="40"/>
      <c r="J136" s="40"/>
      <c r="K136" s="41">
        <v>32</v>
      </c>
      <c r="L136" s="53"/>
    </row>
    <row r="137" spans="1:12" x14ac:dyDescent="0.2">
      <c r="A137" s="54" t="s">
        <v>192</v>
      </c>
      <c r="B137" s="48" t="s">
        <v>201</v>
      </c>
      <c r="C137" s="48" t="s">
        <v>190</v>
      </c>
      <c r="D137" s="48"/>
      <c r="E137" s="48"/>
      <c r="F137" s="48"/>
      <c r="G137" s="48"/>
      <c r="H137" s="37"/>
      <c r="I137" s="37"/>
      <c r="J137" s="37"/>
      <c r="K137" s="51" t="s">
        <v>200</v>
      </c>
      <c r="L137" s="19"/>
    </row>
    <row r="138" spans="1:12" x14ac:dyDescent="0.2">
      <c r="A138" s="54" t="s">
        <v>191</v>
      </c>
      <c r="B138" s="40" t="s">
        <v>74</v>
      </c>
      <c r="C138" s="40" t="s">
        <v>75</v>
      </c>
      <c r="D138" s="40"/>
      <c r="E138" s="40"/>
      <c r="F138" s="40"/>
      <c r="G138" s="40"/>
      <c r="H138" s="37"/>
      <c r="I138" s="37"/>
      <c r="J138" s="37"/>
      <c r="K138" s="41">
        <v>20</v>
      </c>
      <c r="L138" s="19"/>
    </row>
    <row r="139" spans="1:12" x14ac:dyDescent="0.2">
      <c r="A139" s="54" t="s">
        <v>191</v>
      </c>
      <c r="B139" s="48" t="s">
        <v>195</v>
      </c>
      <c r="C139" s="48" t="s">
        <v>27</v>
      </c>
      <c r="D139" s="48"/>
      <c r="E139" s="48"/>
      <c r="F139" s="48"/>
      <c r="G139" s="48"/>
      <c r="H139" s="37"/>
      <c r="I139" s="38"/>
      <c r="J139" s="34"/>
      <c r="K139" s="57">
        <v>31</v>
      </c>
      <c r="L139" s="58">
        <v>2005</v>
      </c>
    </row>
    <row r="140" spans="1:12" x14ac:dyDescent="0.2">
      <c r="A140" s="54" t="s">
        <v>191</v>
      </c>
      <c r="B140" s="48" t="s">
        <v>202</v>
      </c>
      <c r="C140" s="48" t="s">
        <v>36</v>
      </c>
      <c r="D140" s="48"/>
      <c r="E140" s="48"/>
      <c r="F140" s="48"/>
      <c r="G140" s="48"/>
      <c r="H140" s="37"/>
      <c r="I140" s="37"/>
      <c r="J140" s="37"/>
      <c r="K140" s="51" t="s">
        <v>200</v>
      </c>
      <c r="L140" s="46"/>
    </row>
    <row r="141" spans="1:12" x14ac:dyDescent="0.2">
      <c r="A141" s="54" t="s">
        <v>191</v>
      </c>
      <c r="B141" s="48" t="s">
        <v>203</v>
      </c>
      <c r="C141" s="48" t="s">
        <v>36</v>
      </c>
      <c r="D141" s="48"/>
      <c r="E141" s="48"/>
      <c r="F141" s="48"/>
      <c r="G141" s="48"/>
      <c r="H141" s="37"/>
      <c r="I141" s="37"/>
      <c r="J141" s="37"/>
      <c r="K141" s="41">
        <v>32</v>
      </c>
      <c r="L141" s="46"/>
    </row>
    <row r="142" spans="1:12" x14ac:dyDescent="0.2">
      <c r="A142" s="54" t="s">
        <v>191</v>
      </c>
      <c r="B142" s="48" t="s">
        <v>199</v>
      </c>
      <c r="C142" s="48" t="s">
        <v>189</v>
      </c>
      <c r="D142" s="48"/>
      <c r="E142" s="48"/>
      <c r="F142" s="48"/>
      <c r="G142" s="48"/>
      <c r="H142" s="37"/>
      <c r="I142" s="37"/>
      <c r="J142" s="37"/>
      <c r="K142" s="51" t="s">
        <v>200</v>
      </c>
      <c r="L142" s="46"/>
    </row>
    <row r="143" spans="1:12" x14ac:dyDescent="0.2">
      <c r="A143" s="54" t="s">
        <v>191</v>
      </c>
      <c r="B143" s="47" t="s">
        <v>198</v>
      </c>
      <c r="C143" s="48" t="s">
        <v>46</v>
      </c>
      <c r="D143" s="48" t="s">
        <v>307</v>
      </c>
      <c r="E143" s="48"/>
      <c r="F143" s="48"/>
      <c r="G143" s="48"/>
      <c r="H143" s="37">
        <v>500</v>
      </c>
      <c r="I143" s="38">
        <f>H143*24*3.2808^3*288.705/273.15/1000</f>
        <v>447.89231972539164</v>
      </c>
      <c r="J143" s="34">
        <f>I143/0.7302/519.69*2.016/2.2046*1000</f>
        <v>1079.3148473664348</v>
      </c>
      <c r="K143" s="41">
        <v>32</v>
      </c>
      <c r="L143" s="46"/>
    </row>
    <row r="144" spans="1:12" x14ac:dyDescent="0.2">
      <c r="A144" s="54" t="s">
        <v>191</v>
      </c>
      <c r="B144" s="47" t="s">
        <v>368</v>
      </c>
      <c r="C144" s="48" t="s">
        <v>46</v>
      </c>
      <c r="D144" s="48"/>
      <c r="E144" s="48"/>
      <c r="F144" s="48"/>
      <c r="G144" s="48"/>
      <c r="H144" s="37"/>
      <c r="I144" s="37"/>
      <c r="J144" s="37"/>
      <c r="K144" s="51" t="s">
        <v>200</v>
      </c>
      <c r="L144" s="46"/>
    </row>
    <row r="145" spans="1:15" x14ac:dyDescent="0.2">
      <c r="A145" s="52" t="s">
        <v>166</v>
      </c>
      <c r="B145" s="40" t="s">
        <v>167</v>
      </c>
      <c r="C145" s="40" t="s">
        <v>168</v>
      </c>
      <c r="D145" s="47" t="s">
        <v>318</v>
      </c>
      <c r="E145" s="48" t="s">
        <v>306</v>
      </c>
      <c r="F145" s="40"/>
      <c r="G145" s="40" t="s">
        <v>295</v>
      </c>
      <c r="H145" s="37"/>
      <c r="I145" s="37"/>
      <c r="J145" s="37"/>
      <c r="K145" s="41">
        <v>20</v>
      </c>
      <c r="L145" s="46"/>
    </row>
    <row r="146" spans="1:15" x14ac:dyDescent="0.2">
      <c r="A146" s="52" t="s">
        <v>166</v>
      </c>
      <c r="B146" s="48" t="s">
        <v>348</v>
      </c>
      <c r="C146" s="48" t="s">
        <v>149</v>
      </c>
      <c r="D146" s="48" t="s">
        <v>323</v>
      </c>
      <c r="E146" s="48" t="s">
        <v>306</v>
      </c>
      <c r="F146" s="40"/>
      <c r="G146" s="40"/>
      <c r="H146" s="37">
        <v>3708</v>
      </c>
      <c r="I146" s="38">
        <f>H146*24*3.2808^3*288.705/273.15/1000</f>
        <v>3321.5694430835042</v>
      </c>
      <c r="J146" s="34">
        <f>I146/0.7302/519.69*2.016/2.2046*1000</f>
        <v>8004.1989080694811</v>
      </c>
      <c r="K146" s="41">
        <v>20</v>
      </c>
      <c r="L146" s="81"/>
    </row>
    <row r="147" spans="1:15" x14ac:dyDescent="0.2">
      <c r="A147" s="52" t="s">
        <v>109</v>
      </c>
      <c r="B147" s="40" t="s">
        <v>110</v>
      </c>
      <c r="C147" s="40" t="s">
        <v>52</v>
      </c>
      <c r="D147" s="40"/>
      <c r="E147" s="40"/>
      <c r="F147" s="40"/>
      <c r="G147" s="40"/>
      <c r="H147" s="37"/>
      <c r="I147" s="37"/>
      <c r="J147" s="37"/>
      <c r="K147" s="41">
        <v>20</v>
      </c>
      <c r="L147" s="19"/>
    </row>
    <row r="148" spans="1:15" x14ac:dyDescent="0.2">
      <c r="A148" s="52" t="s">
        <v>103</v>
      </c>
      <c r="B148" s="40" t="s">
        <v>104</v>
      </c>
      <c r="C148" s="40" t="s">
        <v>105</v>
      </c>
      <c r="D148" s="40"/>
      <c r="E148" s="40"/>
      <c r="F148" s="40"/>
      <c r="G148" s="40"/>
      <c r="H148" s="37"/>
      <c r="I148" s="37"/>
      <c r="J148" s="37"/>
      <c r="K148" s="41">
        <v>20</v>
      </c>
      <c r="L148" s="19"/>
    </row>
    <row r="149" spans="1:15" x14ac:dyDescent="0.2">
      <c r="A149" s="52" t="s">
        <v>103</v>
      </c>
      <c r="B149" s="40" t="s">
        <v>107</v>
      </c>
      <c r="C149" s="40" t="s">
        <v>105</v>
      </c>
      <c r="D149" s="48" t="s">
        <v>318</v>
      </c>
      <c r="E149" s="48" t="s">
        <v>306</v>
      </c>
      <c r="F149" s="40"/>
      <c r="G149" s="40"/>
      <c r="H149" s="37">
        <v>1800</v>
      </c>
      <c r="I149" s="38">
        <f>H149*24*3.2808^3*288.705/273.15/1000</f>
        <v>1612.4123510114098</v>
      </c>
      <c r="J149" s="34">
        <f>I149/0.7302/519.69*2.016/2.2046*1000</f>
        <v>3885.5334505191659</v>
      </c>
      <c r="K149" s="41" t="s">
        <v>293</v>
      </c>
      <c r="L149" s="19">
        <v>2012</v>
      </c>
    </row>
    <row r="150" spans="1:15" x14ac:dyDescent="0.2">
      <c r="A150" s="52" t="s">
        <v>143</v>
      </c>
      <c r="B150" s="40" t="s">
        <v>144</v>
      </c>
      <c r="C150" s="40" t="s">
        <v>145</v>
      </c>
      <c r="D150" s="40"/>
      <c r="E150" s="40"/>
      <c r="F150" s="40"/>
      <c r="G150" s="40"/>
      <c r="H150" s="44">
        <f>110000/24</f>
        <v>4583.333333333333</v>
      </c>
      <c r="I150" s="38">
        <f>H150*24*3.2808^3*288.705/273.15/1000</f>
        <v>4105.6795974827564</v>
      </c>
      <c r="J150" s="34">
        <f>I150/0.7302/519.69*2.016/2.2046*1000</f>
        <v>9893.7194341923187</v>
      </c>
      <c r="K150" s="41">
        <v>20</v>
      </c>
      <c r="L150" s="19"/>
    </row>
    <row r="151" spans="1:15" x14ac:dyDescent="0.2">
      <c r="A151" s="52" t="s">
        <v>6</v>
      </c>
      <c r="B151" s="40" t="s">
        <v>108</v>
      </c>
      <c r="C151" s="40" t="s">
        <v>52</v>
      </c>
      <c r="D151" s="48" t="s">
        <v>307</v>
      </c>
      <c r="E151" s="40"/>
      <c r="F151" s="40"/>
      <c r="G151" s="40"/>
      <c r="H151" s="37"/>
      <c r="I151" s="38"/>
      <c r="J151" s="34"/>
      <c r="K151" s="41">
        <v>20</v>
      </c>
      <c r="L151" s="19"/>
      <c r="O151" s="13"/>
    </row>
    <row r="152" spans="1:15" x14ac:dyDescent="0.2">
      <c r="A152" s="52" t="s">
        <v>6</v>
      </c>
      <c r="B152" s="40" t="s">
        <v>94</v>
      </c>
      <c r="C152" s="40" t="s">
        <v>49</v>
      </c>
      <c r="D152" s="40"/>
      <c r="E152" s="40"/>
      <c r="F152" s="48" t="s">
        <v>337</v>
      </c>
      <c r="G152" s="48" t="s">
        <v>295</v>
      </c>
      <c r="H152" s="38">
        <f>240000/24</f>
        <v>10000</v>
      </c>
      <c r="I152" s="38">
        <f>H152*24*3.2808^3*288.705/273.15/1000</f>
        <v>8957.8463945078329</v>
      </c>
      <c r="J152" s="34">
        <f>I152/0.7302/519.69*2.016/2.2046*1000</f>
        <v>21586.296947328698</v>
      </c>
      <c r="K152" s="41">
        <v>20</v>
      </c>
      <c r="L152" s="19"/>
    </row>
    <row r="153" spans="1:15" x14ac:dyDescent="0.2">
      <c r="A153" s="52" t="s">
        <v>6</v>
      </c>
      <c r="B153" s="48" t="s">
        <v>98</v>
      </c>
      <c r="C153" s="40" t="s">
        <v>49</v>
      </c>
      <c r="D153" s="40"/>
      <c r="E153" s="40"/>
      <c r="F153" s="40"/>
      <c r="G153" s="40"/>
      <c r="H153" s="38"/>
      <c r="I153" s="38"/>
      <c r="J153" s="34"/>
      <c r="K153" s="41"/>
      <c r="L153" s="19"/>
    </row>
    <row r="154" spans="1:15" x14ac:dyDescent="0.2">
      <c r="A154" s="52" t="s">
        <v>138</v>
      </c>
      <c r="B154" s="40" t="s">
        <v>133</v>
      </c>
      <c r="C154" s="40" t="s">
        <v>23</v>
      </c>
      <c r="D154" s="48" t="s">
        <v>335</v>
      </c>
      <c r="E154" s="40"/>
      <c r="F154" s="40"/>
      <c r="G154" s="40"/>
      <c r="H154" s="38">
        <f>12000/24</f>
        <v>500</v>
      </c>
      <c r="I154" s="38">
        <f>H154*24*3.2808^3*288.705/273.15/1000</f>
        <v>447.89231972539164</v>
      </c>
      <c r="J154" s="34">
        <f>I154/0.7302/519.69*2.016/2.2046*1000</f>
        <v>1079.3148473664348</v>
      </c>
      <c r="K154" s="41">
        <v>20</v>
      </c>
      <c r="L154" s="58"/>
    </row>
    <row r="155" spans="1:15" x14ac:dyDescent="0.2">
      <c r="A155" s="52" t="s">
        <v>138</v>
      </c>
      <c r="B155" s="40" t="s">
        <v>133</v>
      </c>
      <c r="C155" s="40" t="s">
        <v>23</v>
      </c>
      <c r="D155" s="40"/>
      <c r="E155" s="40"/>
      <c r="F155" s="40"/>
      <c r="G155" s="40"/>
      <c r="H155" s="38">
        <f>72000/24</f>
        <v>3000</v>
      </c>
      <c r="I155" s="38">
        <f>H155*24*3.2808^3*288.705/273.15/1000</f>
        <v>2687.3539183523499</v>
      </c>
      <c r="J155" s="34">
        <f>I155/0.7302/519.69*2.016/2.2046*1000</f>
        <v>6475.8890841986095</v>
      </c>
      <c r="K155" s="41">
        <v>20</v>
      </c>
      <c r="L155" s="19"/>
    </row>
    <row r="156" spans="1:15" x14ac:dyDescent="0.2">
      <c r="A156" s="52" t="s">
        <v>138</v>
      </c>
      <c r="B156" s="47" t="s">
        <v>342</v>
      </c>
      <c r="C156" s="47" t="s">
        <v>23</v>
      </c>
      <c r="D156" s="47" t="s">
        <v>307</v>
      </c>
      <c r="E156" s="47" t="s">
        <v>306</v>
      </c>
      <c r="F156" s="40"/>
      <c r="G156" s="40"/>
      <c r="H156" s="38">
        <v>150</v>
      </c>
      <c r="I156" s="38">
        <f>H156*24*3.2808^3*288.705/273.15/1000</f>
        <v>134.36769591761748</v>
      </c>
      <c r="J156" s="34">
        <f>I156/0.7302/519.69*2.016/2.2046*1000</f>
        <v>323.79445420993039</v>
      </c>
      <c r="K156" s="41">
        <v>20</v>
      </c>
      <c r="L156" s="81">
        <v>1973</v>
      </c>
    </row>
    <row r="157" spans="1:15" x14ac:dyDescent="0.2">
      <c r="A157" s="54" t="s">
        <v>257</v>
      </c>
      <c r="B157" s="48" t="s">
        <v>253</v>
      </c>
      <c r="C157" s="48" t="s">
        <v>64</v>
      </c>
      <c r="D157" s="48"/>
      <c r="E157" s="48"/>
      <c r="F157" s="48"/>
      <c r="G157" s="48"/>
      <c r="H157" s="38"/>
      <c r="I157" s="38"/>
      <c r="J157" s="34"/>
      <c r="K157" s="41"/>
      <c r="L157" s="19"/>
    </row>
    <row r="158" spans="1:15" x14ac:dyDescent="0.2">
      <c r="A158" s="54" t="s">
        <v>367</v>
      </c>
      <c r="B158" s="47" t="s">
        <v>258</v>
      </c>
      <c r="C158" s="48" t="s">
        <v>23</v>
      </c>
      <c r="D158" s="48" t="s">
        <v>307</v>
      </c>
      <c r="E158" s="48" t="s">
        <v>306</v>
      </c>
      <c r="F158" s="48"/>
      <c r="G158" s="48"/>
      <c r="H158" s="38">
        <v>1042</v>
      </c>
      <c r="I158" s="38">
        <f>H158*24*3.2808^3*288.705/273.15/1000</f>
        <v>933.40759430771607</v>
      </c>
      <c r="J158" s="34">
        <f>I158/0.7302/519.69*2.016/2.2046*1000</f>
        <v>2249.2921419116501</v>
      </c>
      <c r="K158" s="41">
        <v>20</v>
      </c>
      <c r="L158" s="58"/>
    </row>
    <row r="159" spans="1:15" x14ac:dyDescent="0.2">
      <c r="A159" s="54" t="s">
        <v>367</v>
      </c>
      <c r="B159" s="47" t="s">
        <v>47</v>
      </c>
      <c r="C159" s="48" t="s">
        <v>23</v>
      </c>
      <c r="D159" s="48" t="s">
        <v>307</v>
      </c>
      <c r="E159" s="48" t="s">
        <v>306</v>
      </c>
      <c r="F159" s="48"/>
      <c r="G159" s="48"/>
      <c r="H159" s="38">
        <v>17000</v>
      </c>
      <c r="I159" s="38">
        <f>H159*24*3.2808^3*288.705/273.15/1000</f>
        <v>15228.338870663316</v>
      </c>
      <c r="J159" s="34">
        <f>I159/0.7302/519.69*2.016/2.2046*1000</f>
        <v>36696.704810458781</v>
      </c>
      <c r="K159" s="41">
        <v>52</v>
      </c>
      <c r="L159" s="58">
        <v>2004</v>
      </c>
    </row>
    <row r="160" spans="1:15" x14ac:dyDescent="0.2">
      <c r="A160" s="54" t="s">
        <v>367</v>
      </c>
      <c r="B160" s="47" t="s">
        <v>47</v>
      </c>
      <c r="C160" s="48" t="s">
        <v>23</v>
      </c>
      <c r="D160" s="48" t="s">
        <v>307</v>
      </c>
      <c r="E160" s="48" t="s">
        <v>306</v>
      </c>
      <c r="F160" s="48"/>
      <c r="G160" s="48"/>
      <c r="H160" s="38">
        <v>1500</v>
      </c>
      <c r="I160" s="38">
        <f>H160*24*3.2808^3*288.705/273.15/1000</f>
        <v>1343.6769591761749</v>
      </c>
      <c r="J160" s="34">
        <f>I160/0.7302/519.69*2.016/2.2046*1000</f>
        <v>3237.9445420993047</v>
      </c>
      <c r="K160" s="41">
        <v>52</v>
      </c>
      <c r="L160" s="82">
        <v>1993</v>
      </c>
    </row>
    <row r="161" spans="1:12" x14ac:dyDescent="0.2">
      <c r="A161" s="54" t="s">
        <v>367</v>
      </c>
      <c r="B161" s="47" t="s">
        <v>125</v>
      </c>
      <c r="C161" s="48" t="s">
        <v>23</v>
      </c>
      <c r="D161" s="48"/>
      <c r="E161" s="48"/>
      <c r="F161" s="48"/>
      <c r="G161" s="48"/>
      <c r="H161" s="38"/>
      <c r="I161" s="38"/>
      <c r="J161" s="34"/>
      <c r="K161" s="41"/>
      <c r="L161" s="58"/>
    </row>
    <row r="162" spans="1:12" x14ac:dyDescent="0.2">
      <c r="A162" s="54" t="s">
        <v>358</v>
      </c>
      <c r="B162" s="40" t="s">
        <v>88</v>
      </c>
      <c r="C162" s="40" t="s">
        <v>27</v>
      </c>
      <c r="D162" s="48" t="s">
        <v>318</v>
      </c>
      <c r="E162" s="48" t="s">
        <v>306</v>
      </c>
      <c r="F162" s="40"/>
      <c r="G162" s="40"/>
      <c r="H162" s="37"/>
      <c r="I162" s="38"/>
      <c r="J162" s="34"/>
      <c r="K162" s="41">
        <v>20</v>
      </c>
      <c r="L162" s="58"/>
    </row>
    <row r="163" spans="1:12" x14ac:dyDescent="0.2">
      <c r="A163" s="54" t="s">
        <v>369</v>
      </c>
      <c r="B163" s="48" t="s">
        <v>361</v>
      </c>
      <c r="C163" s="48" t="s">
        <v>46</v>
      </c>
      <c r="D163" s="48" t="s">
        <v>307</v>
      </c>
      <c r="E163" s="48" t="s">
        <v>306</v>
      </c>
      <c r="F163" s="40"/>
      <c r="G163" s="40"/>
      <c r="H163" s="42">
        <v>500</v>
      </c>
      <c r="I163" s="38">
        <f>H163*24*3.2808^3*288.705/273.15/1000</f>
        <v>447.89231972539164</v>
      </c>
      <c r="J163" s="34">
        <f>I163/0.7302/519.69*2.016/2.2046*1000</f>
        <v>1079.3148473664348</v>
      </c>
      <c r="K163" s="41">
        <v>29</v>
      </c>
      <c r="L163" s="81"/>
    </row>
    <row r="164" spans="1:12" x14ac:dyDescent="0.2">
      <c r="A164" s="52" t="s">
        <v>128</v>
      </c>
      <c r="B164" s="48" t="s">
        <v>127</v>
      </c>
      <c r="C164" s="40" t="s">
        <v>23</v>
      </c>
      <c r="D164" s="40"/>
      <c r="E164" s="40"/>
      <c r="F164" s="40"/>
      <c r="G164" s="40"/>
      <c r="H164" s="37"/>
      <c r="I164" s="38"/>
      <c r="J164" s="34"/>
      <c r="K164" s="41"/>
      <c r="L164" s="19"/>
    </row>
    <row r="165" spans="1:12" x14ac:dyDescent="0.2">
      <c r="A165" s="52" t="s">
        <v>128</v>
      </c>
      <c r="B165" s="40" t="s">
        <v>129</v>
      </c>
      <c r="C165" s="40" t="s">
        <v>23</v>
      </c>
      <c r="D165" s="40"/>
      <c r="E165" s="40"/>
      <c r="F165" s="40"/>
      <c r="G165" s="40"/>
      <c r="H165" s="37">
        <f>24000/24</f>
        <v>1000</v>
      </c>
      <c r="I165" s="38">
        <f>H165*24*3.2808^3*288.705/273.15/1000</f>
        <v>895.78463945078329</v>
      </c>
      <c r="J165" s="34">
        <f>I165/0.7302/519.69*2.016/2.2046*1000</f>
        <v>2158.6296947328697</v>
      </c>
      <c r="K165" s="41">
        <v>20</v>
      </c>
      <c r="L165" s="58"/>
    </row>
    <row r="166" spans="1:12" x14ac:dyDescent="0.2">
      <c r="A166" s="52" t="s">
        <v>128</v>
      </c>
      <c r="B166" s="40" t="s">
        <v>132</v>
      </c>
      <c r="C166" s="47" t="s">
        <v>23</v>
      </c>
      <c r="D166" s="47" t="s">
        <v>307</v>
      </c>
      <c r="E166" s="40" t="s">
        <v>306</v>
      </c>
      <c r="F166" s="40"/>
      <c r="G166" s="40"/>
      <c r="H166" s="45">
        <v>1500</v>
      </c>
      <c r="I166" s="38">
        <f>H166*24*3.2808^3*288.705/273.15/1000</f>
        <v>1343.6769591761749</v>
      </c>
      <c r="J166" s="34">
        <f>I166/0.7302/519.69*2.016/2.2046*1000</f>
        <v>3237.9445420993047</v>
      </c>
      <c r="K166" s="41">
        <v>52</v>
      </c>
      <c r="L166" s="19">
        <v>2004</v>
      </c>
    </row>
    <row r="167" spans="1:12" x14ac:dyDescent="0.2">
      <c r="A167" s="52" t="s">
        <v>128</v>
      </c>
      <c r="B167" s="48" t="s">
        <v>134</v>
      </c>
      <c r="C167" s="40" t="s">
        <v>23</v>
      </c>
      <c r="D167" s="40"/>
      <c r="E167" s="40"/>
      <c r="F167" s="40"/>
      <c r="G167" s="40"/>
      <c r="H167" s="45"/>
      <c r="I167" s="38"/>
      <c r="J167" s="34"/>
      <c r="K167" s="41"/>
      <c r="L167" s="19"/>
    </row>
    <row r="168" spans="1:12" x14ac:dyDescent="0.2">
      <c r="A168" s="52" t="s">
        <v>128</v>
      </c>
      <c r="B168" s="48" t="s">
        <v>133</v>
      </c>
      <c r="C168" s="40" t="s">
        <v>23</v>
      </c>
      <c r="D168" s="40"/>
      <c r="E168" s="40"/>
      <c r="F168" s="40"/>
      <c r="G168" s="40"/>
      <c r="H168" s="45"/>
      <c r="I168" s="38"/>
      <c r="J168" s="34"/>
      <c r="K168" s="41"/>
      <c r="L168" s="58"/>
    </row>
    <row r="169" spans="1:12" x14ac:dyDescent="0.2">
      <c r="A169" s="52" t="s">
        <v>128</v>
      </c>
      <c r="B169" s="48" t="s">
        <v>137</v>
      </c>
      <c r="C169" s="40" t="s">
        <v>23</v>
      </c>
      <c r="D169" s="40"/>
      <c r="E169" s="40"/>
      <c r="F169" s="40"/>
      <c r="G169" s="40"/>
      <c r="H169" s="45"/>
      <c r="I169" s="38"/>
      <c r="J169" s="34"/>
      <c r="K169" s="41"/>
      <c r="L169" s="58"/>
    </row>
    <row r="170" spans="1:12" x14ac:dyDescent="0.2">
      <c r="A170" s="54" t="s">
        <v>263</v>
      </c>
      <c r="B170" s="40" t="s">
        <v>164</v>
      </c>
      <c r="C170" s="40" t="s">
        <v>165</v>
      </c>
      <c r="D170" s="47" t="s">
        <v>318</v>
      </c>
      <c r="E170" s="48" t="s">
        <v>306</v>
      </c>
      <c r="F170" s="40"/>
      <c r="G170" s="40" t="s">
        <v>364</v>
      </c>
      <c r="H170" s="42">
        <v>2875</v>
      </c>
      <c r="I170" s="38">
        <f>H170*24*3.2808^3*288.705/273.15/1000</f>
        <v>2575.380838421002</v>
      </c>
      <c r="J170" s="34">
        <f>I170/0.7302/519.69*2.016/2.2046*1000</f>
        <v>6206.0603723570002</v>
      </c>
      <c r="K170" s="41">
        <v>20</v>
      </c>
      <c r="L170" s="58"/>
    </row>
    <row r="171" spans="1:12" x14ac:dyDescent="0.2">
      <c r="A171" s="52" t="s">
        <v>126</v>
      </c>
      <c r="B171" s="40" t="s">
        <v>127</v>
      </c>
      <c r="C171" s="40" t="s">
        <v>23</v>
      </c>
      <c r="D171" s="40"/>
      <c r="E171" s="40"/>
      <c r="F171" s="40"/>
      <c r="G171" s="40"/>
      <c r="H171" s="44">
        <f>8000/24</f>
        <v>333.33333333333331</v>
      </c>
      <c r="I171" s="38">
        <f>H171*24*3.2808^3*288.705/273.15/1000</f>
        <v>298.5948798169278</v>
      </c>
      <c r="J171" s="34">
        <f>I171/0.7302/519.69*2.016/2.2046*1000</f>
        <v>719.54323157762337</v>
      </c>
      <c r="K171" s="41">
        <v>20</v>
      </c>
      <c r="L171" s="19"/>
    </row>
    <row r="172" spans="1:12" x14ac:dyDescent="0.2">
      <c r="A172" s="52" t="s">
        <v>126</v>
      </c>
      <c r="B172" s="40" t="s">
        <v>134</v>
      </c>
      <c r="C172" s="40" t="s">
        <v>23</v>
      </c>
      <c r="D172" s="40"/>
      <c r="E172" s="40"/>
      <c r="F172" s="40"/>
      <c r="G172" s="40"/>
      <c r="H172" s="42"/>
      <c r="I172" s="38"/>
      <c r="J172" s="34"/>
      <c r="K172" s="41">
        <v>20</v>
      </c>
      <c r="L172" s="19"/>
    </row>
    <row r="173" spans="1:12" x14ac:dyDescent="0.2">
      <c r="A173" s="52" t="s">
        <v>126</v>
      </c>
      <c r="B173" s="40" t="s">
        <v>133</v>
      </c>
      <c r="C173" s="40" t="s">
        <v>23</v>
      </c>
      <c r="D173" s="48" t="s">
        <v>307</v>
      </c>
      <c r="E173" s="40"/>
      <c r="F173" s="40"/>
      <c r="G173" s="40"/>
      <c r="H173" s="42">
        <f>12000/24</f>
        <v>500</v>
      </c>
      <c r="I173" s="38">
        <f>H173*24*3.2808^3*288.705/273.15/1000</f>
        <v>447.89231972539164</v>
      </c>
      <c r="J173" s="34">
        <f>I173/0.7302/519.69*2.016/2.2046*1000</f>
        <v>1079.3148473664348</v>
      </c>
      <c r="K173" s="41">
        <v>20</v>
      </c>
      <c r="L173" s="19"/>
    </row>
    <row r="174" spans="1:12" x14ac:dyDescent="0.2">
      <c r="A174" s="52" t="s">
        <v>126</v>
      </c>
      <c r="B174" s="40" t="s">
        <v>137</v>
      </c>
      <c r="C174" s="40" t="s">
        <v>23</v>
      </c>
      <c r="D174" s="48" t="s">
        <v>307</v>
      </c>
      <c r="E174" s="48" t="s">
        <v>306</v>
      </c>
      <c r="F174" s="40"/>
      <c r="G174" s="40"/>
      <c r="H174" s="42">
        <v>250</v>
      </c>
      <c r="I174" s="38">
        <f>H174*24*3.2808^3*288.705/273.15/1000</f>
        <v>223.94615986269582</v>
      </c>
      <c r="J174" s="34">
        <f>I174/0.7302/519.69*2.016/2.2046*1000</f>
        <v>539.65742368321742</v>
      </c>
      <c r="K174" s="41">
        <v>52</v>
      </c>
      <c r="L174" s="19"/>
    </row>
    <row r="175" spans="1:12" x14ac:dyDescent="0.2">
      <c r="A175" s="49" t="s">
        <v>289</v>
      </c>
      <c r="B175" s="47" t="s">
        <v>362</v>
      </c>
      <c r="C175" s="48" t="s">
        <v>259</v>
      </c>
      <c r="D175" s="48" t="s">
        <v>318</v>
      </c>
      <c r="E175" s="48" t="s">
        <v>306</v>
      </c>
      <c r="F175" s="48"/>
      <c r="G175" s="48"/>
      <c r="H175" s="42"/>
      <c r="I175" s="38"/>
      <c r="J175" s="34"/>
      <c r="K175" s="41"/>
      <c r="L175" s="19"/>
    </row>
    <row r="176" spans="1:12" x14ac:dyDescent="0.2">
      <c r="A176" s="49" t="s">
        <v>289</v>
      </c>
      <c r="B176" s="47" t="s">
        <v>260</v>
      </c>
      <c r="C176" s="48" t="s">
        <v>259</v>
      </c>
      <c r="D176" s="48" t="s">
        <v>318</v>
      </c>
      <c r="E176" s="48" t="s">
        <v>306</v>
      </c>
      <c r="F176" s="48"/>
      <c r="G176" s="48"/>
      <c r="H176" s="42"/>
      <c r="I176" s="38"/>
      <c r="J176" s="34"/>
      <c r="K176" s="41"/>
      <c r="L176" s="58"/>
    </row>
    <row r="177" spans="1:12" x14ac:dyDescent="0.2">
      <c r="A177" s="49" t="s">
        <v>261</v>
      </c>
      <c r="B177" s="47" t="s">
        <v>262</v>
      </c>
      <c r="C177" s="48" t="s">
        <v>27</v>
      </c>
      <c r="D177" s="48" t="s">
        <v>307</v>
      </c>
      <c r="E177" s="48" t="s">
        <v>306</v>
      </c>
      <c r="F177" s="48"/>
      <c r="G177" s="48"/>
      <c r="H177" s="42">
        <v>2500</v>
      </c>
      <c r="I177" s="38">
        <f>H177*24*3.2808^3*288.705/273.15/1000</f>
        <v>2239.4615986269582</v>
      </c>
      <c r="J177" s="34">
        <f>I177/0.7302/519.69*2.016/2.2046*1000</f>
        <v>5396.5742368321744</v>
      </c>
      <c r="K177" s="41">
        <v>20</v>
      </c>
      <c r="L177" s="58"/>
    </row>
    <row r="178" spans="1:12" x14ac:dyDescent="0.2">
      <c r="A178" s="36"/>
      <c r="B178" s="37"/>
      <c r="C178" s="37"/>
      <c r="D178" s="37"/>
      <c r="E178" s="37"/>
      <c r="F178" s="37"/>
      <c r="G178" s="37"/>
      <c r="H178" s="37"/>
      <c r="I178" s="37"/>
      <c r="J178" s="37"/>
      <c r="K178" s="29"/>
      <c r="L178" s="58"/>
    </row>
    <row r="179" spans="1:12" x14ac:dyDescent="0.2">
      <c r="A179" s="87" t="s">
        <v>1</v>
      </c>
      <c r="B179" s="88"/>
      <c r="C179" s="88"/>
      <c r="D179" s="77"/>
      <c r="E179" s="77"/>
      <c r="F179" s="68"/>
      <c r="G179" s="68"/>
      <c r="H179" s="7">
        <f>SUM(H15:H178)</f>
        <v>1745986.7911905302</v>
      </c>
      <c r="I179" s="7">
        <f>SUM(I15:I178)</f>
        <v>1564028.7694103001</v>
      </c>
      <c r="J179" s="7">
        <f>SUM(J15:J178)</f>
        <v>3768940.4309673673</v>
      </c>
      <c r="K179" s="28"/>
      <c r="L179" s="20"/>
    </row>
    <row r="180" spans="1:12" x14ac:dyDescent="0.2">
      <c r="A180" s="85"/>
      <c r="B180" s="86"/>
      <c r="C180" s="86"/>
      <c r="D180" s="86"/>
      <c r="E180" s="86"/>
      <c r="F180" s="86"/>
      <c r="G180" s="86"/>
      <c r="H180" s="86"/>
      <c r="I180" s="86"/>
      <c r="J180" s="5"/>
      <c r="K180" s="29"/>
      <c r="L180" s="19"/>
    </row>
    <row r="181" spans="1:12" ht="13.5" thickBot="1" x14ac:dyDescent="0.25">
      <c r="A181" s="83" t="s">
        <v>2</v>
      </c>
      <c r="B181" s="84"/>
      <c r="C181" s="84"/>
      <c r="D181" s="76"/>
      <c r="E181" s="76"/>
      <c r="F181" s="66"/>
      <c r="G181" s="66"/>
      <c r="H181" s="21">
        <f>H179+H12</f>
        <v>1758031.427658947</v>
      </c>
      <c r="I181" s="21">
        <f>I179+I12</f>
        <v>1574818.2071181894</v>
      </c>
      <c r="J181" s="21">
        <f>J179+J12</f>
        <v>3794940.4309673673</v>
      </c>
      <c r="K181" s="30"/>
      <c r="L181" s="22"/>
    </row>
    <row r="182" spans="1:12" x14ac:dyDescent="0.2">
      <c r="A182" s="10"/>
      <c r="B182" s="10"/>
      <c r="C182" s="10"/>
      <c r="D182" s="10"/>
      <c r="E182" s="10"/>
      <c r="F182" s="10"/>
      <c r="G182" s="10"/>
      <c r="H182" s="10"/>
      <c r="I182" s="11"/>
      <c r="J182" s="11"/>
      <c r="K182" s="31"/>
    </row>
    <row r="183" spans="1:12" x14ac:dyDescent="0.2">
      <c r="A183" s="13"/>
      <c r="C183" s="13"/>
      <c r="D183" s="13"/>
      <c r="E183" s="13"/>
      <c r="F183" s="13"/>
      <c r="G183" s="13"/>
      <c r="H183" s="59"/>
      <c r="I183" s="14"/>
      <c r="J183" s="13"/>
      <c r="K183" s="31"/>
    </row>
    <row r="184" spans="1:12" x14ac:dyDescent="0.2">
      <c r="A184" s="2" t="s">
        <v>7</v>
      </c>
      <c r="B184" s="8"/>
      <c r="H184" s="72">
        <f>SUM(H17:H60)+H7</f>
        <v>770504.97284337063</v>
      </c>
      <c r="I184" s="72">
        <f>SUM(I17:I60)+I7</f>
        <v>690206.86831658415</v>
      </c>
      <c r="J184" s="72">
        <f>SUM(J17:J60)+J7</f>
        <v>1663235.7553822699</v>
      </c>
      <c r="K184" s="73">
        <f t="shared" ref="K184:K188" si="10">J184/J$181</f>
        <v>0.43827717078507472</v>
      </c>
    </row>
    <row r="185" spans="1:12" x14ac:dyDescent="0.2">
      <c r="A185" s="2" t="s">
        <v>4</v>
      </c>
      <c r="B185" s="9"/>
      <c r="H185" s="72">
        <f>SUM(H61:H86)+H8</f>
        <v>258037.97976967052</v>
      </c>
      <c r="I185" s="72">
        <f>SUM(I61:I86)+I8</f>
        <v>231146.75368163429</v>
      </c>
      <c r="J185" s="72">
        <f>SUM(J61:J86)+J8</f>
        <v>557009.15640192118</v>
      </c>
      <c r="K185" s="73">
        <f t="shared" si="10"/>
        <v>0.1467767851786633</v>
      </c>
    </row>
    <row r="186" spans="1:12" x14ac:dyDescent="0.2">
      <c r="A186" s="2" t="s">
        <v>9</v>
      </c>
      <c r="B186" s="9"/>
      <c r="H186" s="72">
        <f>SUM(H94:H134)+H9+H10</f>
        <v>657128.87801273121</v>
      </c>
      <c r="I186" s="72">
        <f>SUM(I94:I134)+I9+I10</f>
        <v>588645.96958080516</v>
      </c>
      <c r="J186" s="72">
        <f>SUM(J94:J134)+J9+J10</f>
        <v>1418497.9443284613</v>
      </c>
      <c r="K186" s="73">
        <f t="shared" si="10"/>
        <v>0.37378661671558105</v>
      </c>
    </row>
    <row r="187" spans="1:12" x14ac:dyDescent="0.2">
      <c r="A187" s="2" t="s">
        <v>6</v>
      </c>
      <c r="B187" s="13"/>
      <c r="H187" s="72">
        <f>SUM(H151:H155)</f>
        <v>13500</v>
      </c>
      <c r="I187" s="72">
        <f>SUM(I151:I155)</f>
        <v>12093.092632585574</v>
      </c>
      <c r="J187" s="72">
        <f>SUM(J151:J155)</f>
        <v>29141.500878893741</v>
      </c>
      <c r="K187" s="73">
        <f t="shared" si="10"/>
        <v>7.6790403983931022E-3</v>
      </c>
    </row>
    <row r="188" spans="1:12" x14ac:dyDescent="0.2">
      <c r="A188" s="2" t="s">
        <v>284</v>
      </c>
      <c r="B188" s="13"/>
      <c r="H188" s="72">
        <f>H181-H187-H186-H185-H184</f>
        <v>58859.597033174592</v>
      </c>
      <c r="I188" s="72">
        <f t="shared" ref="I188:K188" si="11">I181-I187-I186-I185-I184</f>
        <v>52725.522906580125</v>
      </c>
      <c r="J188" s="72">
        <f t="shared" si="11"/>
        <v>127056.07397582126</v>
      </c>
      <c r="K188" s="73">
        <f t="shared" si="10"/>
        <v>3.3480386922287851E-2</v>
      </c>
    </row>
    <row r="189" spans="1:12" x14ac:dyDescent="0.2">
      <c r="B189" s="13"/>
    </row>
    <row r="190" spans="1:12" x14ac:dyDescent="0.2">
      <c r="B190" s="13"/>
    </row>
    <row r="191" spans="1:12" x14ac:dyDescent="0.2">
      <c r="B191" s="13"/>
    </row>
    <row r="192" spans="1:12" x14ac:dyDescent="0.2">
      <c r="B192" s="13"/>
    </row>
    <row r="193" spans="2:12" x14ac:dyDescent="0.2">
      <c r="B193" s="13"/>
    </row>
    <row r="194" spans="2:12" x14ac:dyDescent="0.2">
      <c r="B194" s="13"/>
      <c r="I194"/>
      <c r="K194"/>
      <c r="L194"/>
    </row>
    <row r="195" spans="2:12" x14ac:dyDescent="0.2">
      <c r="B195" s="13"/>
      <c r="I195"/>
      <c r="K195"/>
      <c r="L195"/>
    </row>
    <row r="196" spans="2:12" x14ac:dyDescent="0.2">
      <c r="B196" s="13"/>
      <c r="I196"/>
      <c r="K196"/>
      <c r="L196"/>
    </row>
    <row r="197" spans="2:12" x14ac:dyDescent="0.2">
      <c r="B197" s="13"/>
      <c r="I197"/>
      <c r="K197"/>
      <c r="L197"/>
    </row>
    <row r="198" spans="2:12" x14ac:dyDescent="0.2">
      <c r="B198" s="13"/>
      <c r="I198"/>
      <c r="K198"/>
      <c r="L198"/>
    </row>
    <row r="199" spans="2:12" x14ac:dyDescent="0.2">
      <c r="B199" s="13"/>
      <c r="I199"/>
      <c r="K199"/>
      <c r="L199"/>
    </row>
    <row r="200" spans="2:12" x14ac:dyDescent="0.2">
      <c r="B200" s="13"/>
      <c r="I200"/>
      <c r="K200"/>
      <c r="L200"/>
    </row>
    <row r="201" spans="2:12" x14ac:dyDescent="0.2">
      <c r="B201" s="13"/>
      <c r="I201"/>
      <c r="K201"/>
      <c r="L201"/>
    </row>
    <row r="202" spans="2:12" x14ac:dyDescent="0.2">
      <c r="B202" s="13"/>
      <c r="I202"/>
      <c r="K202"/>
      <c r="L202"/>
    </row>
    <row r="203" spans="2:12" x14ac:dyDescent="0.2">
      <c r="B203" s="13"/>
      <c r="I203"/>
      <c r="K203"/>
      <c r="L203"/>
    </row>
    <row r="204" spans="2:12" x14ac:dyDescent="0.2">
      <c r="B204" s="13"/>
      <c r="I204"/>
      <c r="K204"/>
      <c r="L204"/>
    </row>
    <row r="205" spans="2:12" x14ac:dyDescent="0.2">
      <c r="B205" s="13"/>
      <c r="I205"/>
      <c r="K205"/>
      <c r="L205"/>
    </row>
    <row r="206" spans="2:12" x14ac:dyDescent="0.2">
      <c r="B206" s="13"/>
      <c r="I206"/>
      <c r="K206"/>
      <c r="L206"/>
    </row>
    <row r="207" spans="2:12" x14ac:dyDescent="0.2">
      <c r="B207" s="15"/>
      <c r="I207"/>
      <c r="K207"/>
      <c r="L207"/>
    </row>
    <row r="208" spans="2:12" x14ac:dyDescent="0.2">
      <c r="B208" s="13"/>
      <c r="I208"/>
      <c r="K208"/>
      <c r="L208"/>
    </row>
    <row r="209" spans="2:12" x14ac:dyDescent="0.2">
      <c r="B209" s="15"/>
      <c r="I209"/>
      <c r="K209"/>
      <c r="L209"/>
    </row>
    <row r="210" spans="2:12" x14ac:dyDescent="0.2">
      <c r="B210" s="13"/>
      <c r="K210"/>
      <c r="L210"/>
    </row>
    <row r="211" spans="2:12" x14ac:dyDescent="0.2">
      <c r="B211" s="15"/>
      <c r="K211"/>
      <c r="L211"/>
    </row>
    <row r="212" spans="2:12" x14ac:dyDescent="0.2">
      <c r="B212" s="13"/>
      <c r="K212"/>
      <c r="L212"/>
    </row>
    <row r="213" spans="2:12" x14ac:dyDescent="0.2">
      <c r="B213" s="13"/>
      <c r="K213"/>
      <c r="L213"/>
    </row>
    <row r="214" spans="2:12" x14ac:dyDescent="0.2">
      <c r="B214" s="15"/>
      <c r="K214"/>
      <c r="L214"/>
    </row>
    <row r="215" spans="2:12" x14ac:dyDescent="0.2">
      <c r="B215" s="15"/>
      <c r="K215"/>
      <c r="L215"/>
    </row>
    <row r="216" spans="2:12" x14ac:dyDescent="0.2">
      <c r="B216" s="13"/>
      <c r="K216"/>
      <c r="L216"/>
    </row>
    <row r="217" spans="2:12" x14ac:dyDescent="0.2">
      <c r="B217" s="13"/>
      <c r="K217"/>
      <c r="L217"/>
    </row>
    <row r="218" spans="2:12" x14ac:dyDescent="0.2">
      <c r="B218" s="13"/>
      <c r="K218"/>
      <c r="L218"/>
    </row>
    <row r="219" spans="2:12" x14ac:dyDescent="0.2">
      <c r="B219" s="13"/>
      <c r="K219"/>
      <c r="L219"/>
    </row>
    <row r="220" spans="2:12" x14ac:dyDescent="0.2">
      <c r="B220" s="15"/>
      <c r="I220" s="16"/>
      <c r="K220"/>
      <c r="L220"/>
    </row>
    <row r="221" spans="2:12" x14ac:dyDescent="0.2">
      <c r="B221" s="13"/>
      <c r="K221"/>
      <c r="L221"/>
    </row>
    <row r="222" spans="2:12" x14ac:dyDescent="0.2">
      <c r="B222" s="13"/>
      <c r="K222"/>
      <c r="L222"/>
    </row>
    <row r="223" spans="2:12" x14ac:dyDescent="0.2">
      <c r="B223" s="15"/>
      <c r="K223"/>
      <c r="L223"/>
    </row>
    <row r="224" spans="2:12" x14ac:dyDescent="0.2">
      <c r="B224" s="9"/>
      <c r="K224"/>
      <c r="L224"/>
    </row>
    <row r="227" spans="2:12" x14ac:dyDescent="0.2">
      <c r="B227" s="9"/>
      <c r="I227"/>
      <c r="K227"/>
      <c r="L227"/>
    </row>
  </sheetData>
  <sortState ref="A17:H176">
    <sortCondition ref="A17:A176"/>
    <sortCondition ref="C17:C176"/>
    <sortCondition ref="B17:B176"/>
  </sortState>
  <mergeCells count="10">
    <mergeCell ref="A181:C181"/>
    <mergeCell ref="A180:I180"/>
    <mergeCell ref="A12:C12"/>
    <mergeCell ref="A179:C179"/>
    <mergeCell ref="A1:L1"/>
    <mergeCell ref="A5:L5"/>
    <mergeCell ref="A14:L14"/>
    <mergeCell ref="A2:L2"/>
    <mergeCell ref="A4:L4"/>
    <mergeCell ref="A13:L13"/>
  </mergeCells>
  <phoneticPr fontId="3" type="noConversion"/>
  <printOptions horizontalCentered="1" gridLines="1"/>
  <pageMargins left="0.75" right="0.75" top="1" bottom="1" header="0.5" footer="0.5"/>
  <pageSetup scale="70" fitToHeight="2" orientation="portrait" r:id="rId1"/>
  <headerFooter alignWithMargins="0">
    <oddFooter>&amp;R&amp;F
&amp;A
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workbookViewId="0">
      <pane ySplit="1" topLeftCell="A17" activePane="bottomLeft" state="frozen"/>
      <selection pane="bottomLeft" activeCell="A54" sqref="A54"/>
    </sheetView>
  </sheetViews>
  <sheetFormatPr defaultRowHeight="12.75" x14ac:dyDescent="0.2"/>
  <cols>
    <col min="1" max="1" width="12.7109375" style="4" customWidth="1"/>
    <col min="2" max="2" width="55.7109375" customWidth="1"/>
    <col min="3" max="3" width="150.7109375" customWidth="1"/>
    <col min="4" max="4" width="12.7109375" style="4" customWidth="1"/>
    <col min="5" max="5" width="11" style="4" customWidth="1"/>
  </cols>
  <sheetData>
    <row r="1" spans="1:3" ht="15.75" x14ac:dyDescent="0.25">
      <c r="A1" s="18" t="s">
        <v>13</v>
      </c>
      <c r="B1" s="17" t="s">
        <v>14</v>
      </c>
      <c r="C1" s="17" t="s">
        <v>12</v>
      </c>
    </row>
    <row r="2" spans="1:3" x14ac:dyDescent="0.2">
      <c r="A2" s="4">
        <v>1</v>
      </c>
      <c r="B2" t="s">
        <v>19</v>
      </c>
      <c r="C2" t="s">
        <v>18</v>
      </c>
    </row>
    <row r="3" spans="1:3" x14ac:dyDescent="0.2">
      <c r="A3" s="12">
        <v>2</v>
      </c>
      <c r="B3" t="s">
        <v>19</v>
      </c>
      <c r="C3" s="13" t="s">
        <v>22</v>
      </c>
    </row>
    <row r="4" spans="1:3" x14ac:dyDescent="0.2">
      <c r="A4" s="12">
        <v>3</v>
      </c>
      <c r="B4" s="13" t="s">
        <v>25</v>
      </c>
      <c r="C4" s="13" t="s">
        <v>24</v>
      </c>
    </row>
    <row r="5" spans="1:3" x14ac:dyDescent="0.2">
      <c r="A5" s="12">
        <v>4</v>
      </c>
      <c r="B5" s="13" t="s">
        <v>25</v>
      </c>
      <c r="C5" s="13" t="s">
        <v>28</v>
      </c>
    </row>
    <row r="6" spans="1:3" x14ac:dyDescent="0.2">
      <c r="A6" s="12">
        <v>5</v>
      </c>
      <c r="B6" s="13" t="s">
        <v>31</v>
      </c>
      <c r="C6" s="13" t="s">
        <v>30</v>
      </c>
    </row>
    <row r="7" spans="1:3" x14ac:dyDescent="0.2">
      <c r="A7" s="12">
        <v>6</v>
      </c>
      <c r="B7" s="13" t="s">
        <v>25</v>
      </c>
      <c r="C7" s="13" t="s">
        <v>32</v>
      </c>
    </row>
    <row r="8" spans="1:3" x14ac:dyDescent="0.2">
      <c r="A8" s="12">
        <v>7</v>
      </c>
      <c r="B8" s="13" t="s">
        <v>25</v>
      </c>
      <c r="C8" s="13" t="s">
        <v>37</v>
      </c>
    </row>
    <row r="9" spans="1:3" x14ac:dyDescent="0.2">
      <c r="A9" s="12">
        <v>8</v>
      </c>
      <c r="B9" s="13" t="s">
        <v>31</v>
      </c>
      <c r="C9" s="13" t="s">
        <v>38</v>
      </c>
    </row>
    <row r="10" spans="1:3" x14ac:dyDescent="0.2">
      <c r="A10" s="12">
        <v>9</v>
      </c>
      <c r="B10" s="13" t="s">
        <v>31</v>
      </c>
      <c r="C10" s="13" t="s">
        <v>40</v>
      </c>
    </row>
    <row r="11" spans="1:3" x14ac:dyDescent="0.2">
      <c r="A11" s="12">
        <v>10</v>
      </c>
      <c r="B11" s="13" t="s">
        <v>31</v>
      </c>
      <c r="C11" s="33" t="s">
        <v>42</v>
      </c>
    </row>
    <row r="12" spans="1:3" x14ac:dyDescent="0.2">
      <c r="A12" s="12">
        <v>11</v>
      </c>
      <c r="B12" s="13" t="s">
        <v>44</v>
      </c>
      <c r="C12" s="13" t="s">
        <v>43</v>
      </c>
    </row>
    <row r="13" spans="1:3" x14ac:dyDescent="0.2">
      <c r="A13" s="12">
        <v>12</v>
      </c>
      <c r="B13" s="13" t="s">
        <v>54</v>
      </c>
      <c r="C13" s="13" t="s">
        <v>51</v>
      </c>
    </row>
    <row r="14" spans="1:3" x14ac:dyDescent="0.2">
      <c r="A14" s="12">
        <v>13</v>
      </c>
      <c r="B14" s="13" t="s">
        <v>54</v>
      </c>
      <c r="C14" s="13" t="s">
        <v>51</v>
      </c>
    </row>
    <row r="15" spans="1:3" x14ac:dyDescent="0.2">
      <c r="A15" s="12">
        <v>14</v>
      </c>
      <c r="B15" s="13" t="s">
        <v>54</v>
      </c>
      <c r="C15" s="13" t="s">
        <v>51</v>
      </c>
    </row>
    <row r="16" spans="1:3" x14ac:dyDescent="0.2">
      <c r="A16" s="12">
        <v>15</v>
      </c>
      <c r="B16" s="13" t="s">
        <v>54</v>
      </c>
      <c r="C16" s="13" t="s">
        <v>51</v>
      </c>
    </row>
    <row r="17" spans="1:3" x14ac:dyDescent="0.2">
      <c r="A17" s="12">
        <v>16</v>
      </c>
      <c r="B17" s="13" t="s">
        <v>54</v>
      </c>
      <c r="C17" s="13" t="s">
        <v>56</v>
      </c>
    </row>
    <row r="18" spans="1:3" x14ac:dyDescent="0.2">
      <c r="A18" s="12">
        <v>17</v>
      </c>
      <c r="B18" s="13" t="s">
        <v>54</v>
      </c>
      <c r="C18" s="13" t="s">
        <v>58</v>
      </c>
    </row>
    <row r="19" spans="1:3" x14ac:dyDescent="0.2">
      <c r="A19" s="12">
        <v>18</v>
      </c>
      <c r="B19" s="13" t="s">
        <v>61</v>
      </c>
      <c r="C19" s="13" t="s">
        <v>60</v>
      </c>
    </row>
    <row r="20" spans="1:3" x14ac:dyDescent="0.2">
      <c r="A20" s="12">
        <v>19</v>
      </c>
      <c r="B20" s="35" t="s">
        <v>63</v>
      </c>
      <c r="C20" s="13" t="s">
        <v>96</v>
      </c>
    </row>
    <row r="21" spans="1:3" x14ac:dyDescent="0.2">
      <c r="A21" s="12">
        <v>20</v>
      </c>
      <c r="B21" s="13" t="s">
        <v>68</v>
      </c>
      <c r="C21" s="13" t="s">
        <v>65</v>
      </c>
    </row>
    <row r="22" spans="1:3" x14ac:dyDescent="0.2">
      <c r="A22" s="12">
        <v>21</v>
      </c>
      <c r="B22" s="13" t="s">
        <v>172</v>
      </c>
      <c r="C22" s="15" t="s">
        <v>171</v>
      </c>
    </row>
    <row r="23" spans="1:3" x14ac:dyDescent="0.2">
      <c r="A23" s="12">
        <v>22</v>
      </c>
      <c r="B23" s="13" t="s">
        <v>174</v>
      </c>
      <c r="C23" s="13" t="s">
        <v>173</v>
      </c>
    </row>
    <row r="24" spans="1:3" x14ac:dyDescent="0.2">
      <c r="A24" s="12">
        <v>23</v>
      </c>
      <c r="B24" s="35" t="s">
        <v>177</v>
      </c>
      <c r="C24" s="13" t="s">
        <v>175</v>
      </c>
    </row>
    <row r="25" spans="1:3" x14ac:dyDescent="0.2">
      <c r="A25" s="12">
        <v>24</v>
      </c>
      <c r="B25" s="13" t="s">
        <v>179</v>
      </c>
      <c r="C25" s="13" t="s">
        <v>178</v>
      </c>
    </row>
    <row r="26" spans="1:3" x14ac:dyDescent="0.2">
      <c r="A26" s="12">
        <v>25</v>
      </c>
      <c r="B26" s="13" t="s">
        <v>181</v>
      </c>
      <c r="C26" s="13" t="s">
        <v>180</v>
      </c>
    </row>
    <row r="27" spans="1:3" x14ac:dyDescent="0.2">
      <c r="A27" s="12">
        <v>26</v>
      </c>
      <c r="B27" s="43" t="s">
        <v>184</v>
      </c>
      <c r="C27" s="13" t="s">
        <v>183</v>
      </c>
    </row>
    <row r="28" spans="1:3" x14ac:dyDescent="0.2">
      <c r="A28" s="12">
        <v>27</v>
      </c>
      <c r="B28" s="13" t="s">
        <v>19</v>
      </c>
      <c r="C28" s="13" t="s">
        <v>185</v>
      </c>
    </row>
    <row r="29" spans="1:3" x14ac:dyDescent="0.2">
      <c r="A29" s="12">
        <v>28</v>
      </c>
      <c r="B29" s="13" t="s">
        <v>187</v>
      </c>
      <c r="C29" s="13" t="s">
        <v>186</v>
      </c>
    </row>
    <row r="30" spans="1:3" x14ac:dyDescent="0.2">
      <c r="A30" s="12">
        <v>29</v>
      </c>
      <c r="B30" s="13" t="s">
        <v>68</v>
      </c>
      <c r="C30" s="13" t="s">
        <v>188</v>
      </c>
    </row>
    <row r="31" spans="1:3" x14ac:dyDescent="0.2">
      <c r="A31" s="12">
        <v>30</v>
      </c>
      <c r="B31" s="50" t="s">
        <v>193</v>
      </c>
      <c r="C31" s="13" t="s">
        <v>194</v>
      </c>
    </row>
    <row r="32" spans="1:3" x14ac:dyDescent="0.2">
      <c r="A32" s="12">
        <v>31</v>
      </c>
      <c r="B32" s="50" t="s">
        <v>197</v>
      </c>
      <c r="C32" s="13" t="s">
        <v>196</v>
      </c>
    </row>
    <row r="33" spans="1:3" x14ac:dyDescent="0.2">
      <c r="A33" s="12">
        <v>32</v>
      </c>
      <c r="B33" s="50" t="s">
        <v>205</v>
      </c>
      <c r="C33" s="13" t="s">
        <v>204</v>
      </c>
    </row>
    <row r="34" spans="1:3" x14ac:dyDescent="0.2">
      <c r="A34" s="12">
        <v>33</v>
      </c>
      <c r="B34" s="50" t="s">
        <v>208</v>
      </c>
      <c r="C34" s="13" t="s">
        <v>207</v>
      </c>
    </row>
    <row r="35" spans="1:3" x14ac:dyDescent="0.2">
      <c r="A35" s="12">
        <v>34</v>
      </c>
      <c r="B35" s="50" t="s">
        <v>214</v>
      </c>
      <c r="C35" s="13" t="s">
        <v>213</v>
      </c>
    </row>
    <row r="36" spans="1:3" x14ac:dyDescent="0.2">
      <c r="A36" s="12">
        <v>35</v>
      </c>
      <c r="B36" s="33" t="s">
        <v>216</v>
      </c>
      <c r="C36" s="13" t="s">
        <v>215</v>
      </c>
    </row>
    <row r="37" spans="1:3" x14ac:dyDescent="0.2">
      <c r="A37" s="12">
        <v>36</v>
      </c>
      <c r="B37" s="33" t="s">
        <v>219</v>
      </c>
      <c r="C37" s="13" t="s">
        <v>220</v>
      </c>
    </row>
    <row r="38" spans="1:3" x14ac:dyDescent="0.2">
      <c r="A38" s="12">
        <v>37</v>
      </c>
      <c r="B38" s="33" t="s">
        <v>221</v>
      </c>
      <c r="C38" s="13" t="s">
        <v>222</v>
      </c>
    </row>
    <row r="39" spans="1:3" x14ac:dyDescent="0.2">
      <c r="A39" s="12">
        <v>38</v>
      </c>
      <c r="B39" s="33" t="s">
        <v>221</v>
      </c>
      <c r="C39" s="13" t="s">
        <v>224</v>
      </c>
    </row>
    <row r="40" spans="1:3" x14ac:dyDescent="0.2">
      <c r="A40" s="12">
        <v>39</v>
      </c>
      <c r="B40" s="33" t="s">
        <v>226</v>
      </c>
      <c r="C40" t="s">
        <v>230</v>
      </c>
    </row>
    <row r="41" spans="1:3" x14ac:dyDescent="0.2">
      <c r="A41" s="12">
        <v>40</v>
      </c>
      <c r="B41" s="33" t="s">
        <v>227</v>
      </c>
      <c r="C41" s="13" t="s">
        <v>228</v>
      </c>
    </row>
    <row r="42" spans="1:3" x14ac:dyDescent="0.2">
      <c r="A42" s="12">
        <v>41</v>
      </c>
      <c r="B42" s="33" t="s">
        <v>44</v>
      </c>
      <c r="C42" s="13" t="s">
        <v>232</v>
      </c>
    </row>
    <row r="43" spans="1:3" x14ac:dyDescent="0.2">
      <c r="A43" s="12">
        <v>42</v>
      </c>
      <c r="B43" s="33" t="s">
        <v>236</v>
      </c>
      <c r="C43" s="15" t="s">
        <v>237</v>
      </c>
    </row>
    <row r="44" spans="1:3" x14ac:dyDescent="0.2">
      <c r="A44" s="12">
        <v>43</v>
      </c>
      <c r="B44" s="33" t="s">
        <v>246</v>
      </c>
      <c r="C44" s="13" t="s">
        <v>243</v>
      </c>
    </row>
    <row r="45" spans="1:3" x14ac:dyDescent="0.2">
      <c r="A45" s="12">
        <v>44</v>
      </c>
      <c r="B45" s="33" t="s">
        <v>267</v>
      </c>
      <c r="C45" s="13" t="s">
        <v>268</v>
      </c>
    </row>
    <row r="46" spans="1:3" x14ac:dyDescent="0.2">
      <c r="A46" s="12">
        <v>45</v>
      </c>
      <c r="B46" s="33" t="s">
        <v>271</v>
      </c>
      <c r="C46" s="13" t="s">
        <v>270</v>
      </c>
    </row>
    <row r="47" spans="1:3" x14ac:dyDescent="0.2">
      <c r="A47" s="12">
        <v>46</v>
      </c>
      <c r="B47" s="33" t="s">
        <v>19</v>
      </c>
      <c r="C47" s="13" t="s">
        <v>277</v>
      </c>
    </row>
    <row r="48" spans="1:3" x14ac:dyDescent="0.2">
      <c r="A48" s="4">
        <v>47</v>
      </c>
      <c r="B48" s="33" t="s">
        <v>287</v>
      </c>
      <c r="C48" t="s">
        <v>288</v>
      </c>
    </row>
    <row r="49" spans="1:3" x14ac:dyDescent="0.2">
      <c r="A49" s="4">
        <v>48</v>
      </c>
      <c r="B49" s="33" t="s">
        <v>291</v>
      </c>
      <c r="C49" t="s">
        <v>292</v>
      </c>
    </row>
    <row r="50" spans="1:3" x14ac:dyDescent="0.2">
      <c r="A50" s="4">
        <v>49</v>
      </c>
      <c r="B50" s="33" t="s">
        <v>296</v>
      </c>
      <c r="C50" s="9" t="s">
        <v>297</v>
      </c>
    </row>
    <row r="51" spans="1:3" x14ac:dyDescent="0.2">
      <c r="A51" s="4">
        <v>50</v>
      </c>
      <c r="B51" s="33" t="s">
        <v>309</v>
      </c>
      <c r="C51" s="9" t="s">
        <v>312</v>
      </c>
    </row>
    <row r="52" spans="1:3" x14ac:dyDescent="0.2">
      <c r="A52" s="4">
        <v>51</v>
      </c>
      <c r="B52" s="33" t="s">
        <v>315</v>
      </c>
      <c r="C52" t="s">
        <v>314</v>
      </c>
    </row>
    <row r="53" spans="1:3" x14ac:dyDescent="0.2">
      <c r="A53" s="4">
        <v>52</v>
      </c>
      <c r="B53" s="33" t="s">
        <v>365</v>
      </c>
      <c r="C53" s="13" t="s">
        <v>366</v>
      </c>
    </row>
    <row r="54" spans="1:3" x14ac:dyDescent="0.2">
      <c r="C54" s="13"/>
    </row>
  </sheetData>
  <phoneticPr fontId="3" type="noConversion"/>
  <hyperlinks>
    <hyperlink ref="C5" r:id="rId1"/>
    <hyperlink ref="C43" r:id="rId2"/>
    <hyperlink ref="C50" r:id="rId3"/>
    <hyperlink ref="C51" r:id="rId4"/>
    <hyperlink ref="C22" r:id="rId5"/>
  </hyperlinks>
  <printOptions horizontalCentered="1" gridLines="1"/>
  <pageMargins left="0.75" right="0.75" top="1" bottom="1" header="0.5" footer="0.5"/>
  <pageSetup scale="56" orientation="landscape" r:id="rId6"/>
  <headerFooter alignWithMargins="0">
    <oddFooter>&amp;R&amp;F
&amp;A</oddFooter>
  </headerFooter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Plant Capacities</vt:lpstr>
      <vt:lpstr>References</vt:lpstr>
      <vt:lpstr>'Plant Capacities'!Print_Area</vt:lpstr>
      <vt:lpstr>References!Print_Area</vt:lpstr>
      <vt:lpstr>'Plant Capacities'!Print_Titles</vt:lpstr>
    </vt:vector>
  </TitlesOfParts>
  <Company>Pacific Northwest National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Daryl Brown</cp:lastModifiedBy>
  <cp:lastPrinted>2009-02-21T01:01:06Z</cp:lastPrinted>
  <dcterms:created xsi:type="dcterms:W3CDTF">2005-09-06T14:40:11Z</dcterms:created>
  <dcterms:modified xsi:type="dcterms:W3CDTF">2015-12-11T21:46:12Z</dcterms:modified>
</cp:coreProperties>
</file>