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8394\Documents\FY 2007 Project Starts\H2A Website (HyARC)\Pipelines\"/>
    </mc:Choice>
  </mc:AlternateContent>
  <bookViews>
    <workbookView xWindow="2556" yWindow="0" windowWidth="11352" windowHeight="5940" tabRatio="696"/>
  </bookViews>
  <sheets>
    <sheet name="World" sheetId="7" r:id="rId1"/>
    <sheet name="US &amp; Canada " sheetId="1" r:id="rId2"/>
    <sheet name="Europe " sheetId="5" r:id="rId3"/>
    <sheet name="Rest of World" sheetId="8" r:id="rId4"/>
    <sheet name="US PHMSA Owner Data" sheetId="9" r:id="rId5"/>
    <sheet name="US PHMSA State Data" sheetId="3" r:id="rId6"/>
    <sheet name="Louisiana State Data" sheetId="11" r:id="rId7"/>
    <sheet name="Texas RRC Data" sheetId="10" r:id="rId8"/>
    <sheet name="Sources" sheetId="6" r:id="rId9"/>
  </sheets>
  <definedNames>
    <definedName name="_xlnm.Print_Area" localSheetId="1">'US &amp; Canada '!$B$2:$G$53</definedName>
  </definedNames>
  <calcPr calcId="152511"/>
</workbook>
</file>

<file path=xl/calcChain.xml><?xml version="1.0" encoding="utf-8"?>
<calcChain xmlns="http://schemas.openxmlformats.org/spreadsheetml/2006/main">
  <c r="C4" i="7" l="1"/>
  <c r="E41" i="1"/>
  <c r="D41" i="1"/>
  <c r="E42" i="1"/>
  <c r="D16" i="1"/>
  <c r="D11" i="1"/>
  <c r="D24" i="1" l="1"/>
  <c r="E22" i="1"/>
  <c r="E6" i="1" l="1"/>
  <c r="D40" i="1"/>
  <c r="E40" i="1" s="1"/>
  <c r="F18" i="8" l="1"/>
  <c r="F15" i="9"/>
  <c r="E10" i="1"/>
  <c r="E9" i="1"/>
  <c r="F28" i="8"/>
  <c r="E28" i="8"/>
  <c r="E26" i="10"/>
  <c r="D6" i="3"/>
  <c r="D7" i="3"/>
  <c r="D8" i="3"/>
  <c r="D9" i="3"/>
  <c r="D10" i="3"/>
  <c r="D11" i="3"/>
  <c r="D12" i="3"/>
  <c r="D13" i="3"/>
  <c r="D14" i="3"/>
  <c r="D15" i="3"/>
  <c r="D16" i="3"/>
  <c r="D5" i="3"/>
  <c r="E21" i="10"/>
  <c r="E14" i="10"/>
  <c r="E8" i="10"/>
  <c r="D39" i="1" s="1"/>
  <c r="E39" i="1" s="1"/>
  <c r="E25" i="10" l="1"/>
  <c r="D59" i="1"/>
  <c r="E59" i="1" s="1"/>
  <c r="D58" i="1"/>
  <c r="E58" i="1" s="1"/>
  <c r="D57" i="1"/>
  <c r="E57" i="1" s="1"/>
  <c r="D56" i="1"/>
  <c r="D60" i="1" l="1"/>
  <c r="E60" i="1" s="1"/>
  <c r="E56" i="1"/>
  <c r="D55" i="1" l="1"/>
  <c r="E55" i="1" s="1"/>
  <c r="C8" i="7" s="1"/>
  <c r="E15" i="1"/>
  <c r="D43" i="1" l="1"/>
  <c r="F4" i="9" s="1"/>
  <c r="D50" i="1"/>
  <c r="E50" i="1" s="1"/>
  <c r="D51" i="1" l="1"/>
  <c r="D29" i="9" l="1"/>
  <c r="E29" i="9"/>
  <c r="C29" i="9"/>
  <c r="D31" i="9" l="1"/>
  <c r="D30" i="9" s="1"/>
  <c r="C27" i="9"/>
  <c r="E27" i="9" s="1"/>
  <c r="C21" i="9"/>
  <c r="E11" i="9"/>
  <c r="C11" i="9"/>
  <c r="C8" i="9"/>
  <c r="E8" i="9" s="1"/>
  <c r="F19" i="8"/>
  <c r="F23" i="8" s="1"/>
  <c r="F27" i="8"/>
  <c r="F26" i="8"/>
  <c r="E23" i="8"/>
  <c r="E30" i="8" s="1"/>
  <c r="F17" i="8"/>
  <c r="D13" i="1"/>
  <c r="E12" i="1"/>
  <c r="D8" i="7"/>
  <c r="F25" i="8"/>
  <c r="E10" i="8"/>
  <c r="F13" i="8"/>
  <c r="E15" i="8"/>
  <c r="F12" i="8"/>
  <c r="D54" i="1"/>
  <c r="E48" i="1"/>
  <c r="E49" i="1"/>
  <c r="E47" i="1"/>
  <c r="E33" i="1"/>
  <c r="E34" i="1"/>
  <c r="E35" i="1"/>
  <c r="E36" i="1"/>
  <c r="E37" i="1"/>
  <c r="E32" i="1"/>
  <c r="E26" i="1"/>
  <c r="E25" i="1"/>
  <c r="E23" i="1"/>
  <c r="E7" i="1"/>
  <c r="E8" i="1"/>
  <c r="E11" i="1"/>
  <c r="E14" i="1"/>
  <c r="E5" i="1"/>
  <c r="E20" i="5"/>
  <c r="E10" i="5"/>
  <c r="D4" i="7"/>
  <c r="E15" i="5"/>
  <c r="E51" i="1"/>
  <c r="C6" i="7" s="1"/>
  <c r="D6" i="7" s="1"/>
  <c r="F21" i="8"/>
  <c r="F19" i="5"/>
  <c r="F20" i="8"/>
  <c r="F4" i="8"/>
  <c r="F10" i="8" s="1"/>
  <c r="F18" i="5"/>
  <c r="F13" i="5"/>
  <c r="F15" i="5" s="1"/>
  <c r="F14" i="5"/>
  <c r="F7" i="5"/>
  <c r="F10" i="5" s="1"/>
  <c r="F8" i="5"/>
  <c r="F9" i="5"/>
  <c r="F6" i="5"/>
  <c r="F5" i="5"/>
  <c r="D38" i="1"/>
  <c r="E38" i="1"/>
  <c r="C18" i="3"/>
  <c r="E16" i="1"/>
  <c r="F4" i="5"/>
  <c r="F12" i="5"/>
  <c r="F17" i="5"/>
  <c r="F20" i="5" s="1"/>
  <c r="F24" i="5" s="1"/>
  <c r="D12" i="7" s="1"/>
  <c r="F22" i="5"/>
  <c r="E27" i="5"/>
  <c r="F27" i="5" s="1"/>
  <c r="F28" i="5"/>
  <c r="E29" i="5"/>
  <c r="F29" i="5"/>
  <c r="E30" i="5"/>
  <c r="F30" i="5"/>
  <c r="E31" i="5"/>
  <c r="E35" i="5" s="1"/>
  <c r="F35" i="5" s="1"/>
  <c r="F32" i="5"/>
  <c r="F33" i="5"/>
  <c r="E34" i="5"/>
  <c r="F34" i="5"/>
  <c r="F37" i="5"/>
  <c r="F38" i="5"/>
  <c r="E39" i="5"/>
  <c r="F39" i="5" s="1"/>
  <c r="F5" i="9"/>
  <c r="D27" i="1"/>
  <c r="E27" i="1" s="1"/>
  <c r="E24" i="1" l="1"/>
  <c r="D63" i="1"/>
  <c r="E63" i="1" s="1"/>
  <c r="C13" i="7" s="1"/>
  <c r="D13" i="7" s="1"/>
  <c r="E13" i="1"/>
  <c r="D28" i="1"/>
  <c r="E28" i="1" s="1"/>
  <c r="D17" i="1"/>
  <c r="C5" i="7"/>
  <c r="D5" i="7" s="1"/>
  <c r="F31" i="5"/>
  <c r="E24" i="5"/>
  <c r="C12" i="7" s="1"/>
  <c r="F15" i="8"/>
  <c r="F30" i="8" s="1"/>
  <c r="C31" i="9"/>
  <c r="C30" i="9" s="1"/>
  <c r="E31" i="9"/>
  <c r="E30" i="9" s="1"/>
  <c r="F22" i="9" l="1"/>
  <c r="D18" i="1"/>
  <c r="D7" i="7" s="1"/>
  <c r="E17" i="1"/>
  <c r="E18" i="1" s="1"/>
  <c r="D62" i="1"/>
  <c r="E62" i="1" s="1"/>
  <c r="C11" i="7" s="1"/>
  <c r="D11" i="7" s="1"/>
  <c r="D14" i="7" s="1"/>
  <c r="C14" i="7" l="1"/>
  <c r="C7" i="7"/>
  <c r="C9" i="7" s="1"/>
  <c r="D9" i="7"/>
</calcChain>
</file>

<file path=xl/comments1.xml><?xml version="1.0" encoding="utf-8"?>
<comments xmlns="http://schemas.openxmlformats.org/spreadsheetml/2006/main">
  <authors>
    <author>Daryl Brown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In reference 50, a 2016 presentation by Air Liquide, the figure quoted is 2000 km, but we assume this is the result of rounding off the actual distance to one digit.</t>
        </r>
      </text>
    </comment>
  </commentList>
</comments>
</file>

<file path=xl/comments2.xml><?xml version="1.0" encoding="utf-8"?>
<comments xmlns="http://schemas.openxmlformats.org/spreadsheetml/2006/main">
  <authors>
    <author>Daryl Brown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Described as being 30+ km on web site; accessed July 2016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Estimated from map.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Estimated from map.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Estimated from map.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Estimated from map.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Estimated from map.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This is probably the pipeline under TX RRC permit 8275 listed as 83.71 miles.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Texas Railroad Commission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Bobby Skelton, the Air Liquide Pipeline Regulatory Compliance Manager, was contacted but did not respond to our request for clarification on the correct current mileage in 2016.</t>
        </r>
      </text>
    </comment>
  </commentList>
</comments>
</file>

<file path=xl/comments3.xml><?xml version="1.0" encoding="utf-8"?>
<comments xmlns="http://schemas.openxmlformats.org/spreadsheetml/2006/main">
  <authors>
    <author>Daryl Brown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900 bar H2 pipeline for FCEVs
</t>
        </r>
      </text>
    </comment>
  </commentList>
</comments>
</file>

<file path=xl/comments4.xml><?xml version="1.0" encoding="utf-8"?>
<comments xmlns="http://schemas.openxmlformats.org/spreadsheetml/2006/main">
  <authors>
    <author>Daryl Brown</author>
  </authors>
  <commentList>
    <comment ref="C17" authorId="0" shapeId="0">
      <text>
        <r>
          <rPr>
            <b/>
            <sz val="9"/>
            <color indexed="81"/>
            <rFont val="Tahoma"/>
            <charset val="1"/>
          </rPr>
          <t>Daryl Brown:</t>
        </r>
        <r>
          <rPr>
            <sz val="9"/>
            <color indexed="81"/>
            <rFont val="Tahoma"/>
            <charset val="1"/>
          </rPr>
          <t xml:space="preserve">
Altona to West Footscray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Daryl Brown:</t>
        </r>
        <r>
          <rPr>
            <sz val="9"/>
            <color indexed="81"/>
            <rFont val="Tahoma"/>
            <charset val="1"/>
          </rPr>
          <t xml:space="preserve">
including surrounding cities of Yeosu, Seosan, and Gunsan.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>Daryl Brown:</t>
        </r>
        <r>
          <rPr>
            <sz val="9"/>
            <color indexed="81"/>
            <rFont val="Tahoma"/>
            <charset val="1"/>
          </rPr>
          <t xml:space="preserve">
runs from Jiyuan to Luoyang.  50.8 cm ID, 4 MPa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Runs from Jiyuan to Luopyang to serve Luoyang Refinery Company.</t>
        </r>
      </text>
    </comment>
  </commentList>
</comments>
</file>

<file path=xl/comments5.xml><?xml version="1.0" encoding="utf-8"?>
<comments xmlns="http://schemas.openxmlformats.org/spreadsheetml/2006/main">
  <authors>
    <author>Daryl Brown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when last received by Texas RR Commission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another 35.55 miles of idle H2 pipeling are included in the permit.
</t>
        </r>
      </text>
    </comment>
  </commentList>
</comments>
</file>

<file path=xl/comments6.xml><?xml version="1.0" encoding="utf-8"?>
<comments xmlns="http://schemas.openxmlformats.org/spreadsheetml/2006/main">
  <authors>
    <author>Daryl Brown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Driving performance and Executing on Strategy, Simon moore, AP; Oppenheimer Industrial Growth Conference
May 2014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Citi Chemicals for the Non-Chemist Conference.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presumed to be the 9 miles for Ohio listed by PHMSA.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Germany - Taking the Fast Lane to hydrogen Infrasructure Development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by Detlef Stolten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"Hydrogen Energy: From Industrial Experience to Social Sciences"</t>
        </r>
      </text>
    </comment>
  </commentList>
</comments>
</file>

<file path=xl/sharedStrings.xml><?xml version="1.0" encoding="utf-8"?>
<sst xmlns="http://schemas.openxmlformats.org/spreadsheetml/2006/main" count="471" uniqueCount="297">
  <si>
    <t>Source</t>
  </si>
  <si>
    <t>Company</t>
  </si>
  <si>
    <t>Praxair</t>
  </si>
  <si>
    <t>Location</t>
  </si>
  <si>
    <t>Air Products</t>
  </si>
  <si>
    <t>Air Liquide</t>
  </si>
  <si>
    <t>U.S.</t>
  </si>
  <si>
    <t>Germany</t>
  </si>
  <si>
    <t>State</t>
  </si>
  <si>
    <t>Alabama</t>
  </si>
  <si>
    <t>California</t>
  </si>
  <si>
    <t>Indiana</t>
  </si>
  <si>
    <t>Louisiana</t>
  </si>
  <si>
    <t>Michigan</t>
  </si>
  <si>
    <t>New York</t>
  </si>
  <si>
    <t>Ohio</t>
  </si>
  <si>
    <t>Texas</t>
  </si>
  <si>
    <t>miles</t>
  </si>
  <si>
    <t>U.S. Total</t>
  </si>
  <si>
    <t>Miles</t>
  </si>
  <si>
    <t>Total</t>
  </si>
  <si>
    <t>km</t>
  </si>
  <si>
    <t>Others</t>
  </si>
  <si>
    <t>Country</t>
  </si>
  <si>
    <t>Netherlands</t>
  </si>
  <si>
    <t>Belgium</t>
  </si>
  <si>
    <t>France</t>
  </si>
  <si>
    <t>Switzerland</t>
  </si>
  <si>
    <t>Italy</t>
  </si>
  <si>
    <t>United Kingdom</t>
  </si>
  <si>
    <t>Sweden</t>
  </si>
  <si>
    <t>Shell Canada</t>
  </si>
  <si>
    <t>http://www.needs-project.org/docs/1cReportPresent.pdf</t>
  </si>
  <si>
    <t>Canada Total</t>
  </si>
  <si>
    <t>Rest of World</t>
  </si>
  <si>
    <t>World Total</t>
  </si>
  <si>
    <t>Southern California</t>
  </si>
  <si>
    <t>Linde</t>
  </si>
  <si>
    <t>Texas-Louisiana</t>
  </si>
  <si>
    <t>Source #</t>
  </si>
  <si>
    <t>Source Description</t>
  </si>
  <si>
    <t>Web Link</t>
  </si>
  <si>
    <t>http://www.praxair.com/news/2013/praxair-expands-hydrogen-supply-with-plant-start-up-at-valero-refinery</t>
  </si>
  <si>
    <t>Praxair Press Release September 15, 2013</t>
  </si>
  <si>
    <t>http://www.praxair.com/services/industrial-gas-supply-and-management/gas-pipelines</t>
  </si>
  <si>
    <t>Praxair Web Site</t>
  </si>
  <si>
    <t>gasworld.com</t>
  </si>
  <si>
    <t>http://www.gasworld.com/news/air-products-to-build-canada-hydrogen-plant/2002874.article</t>
  </si>
  <si>
    <t>http://www.planete-hydrogene.com/en/air-liquide-and-hydrogen-3/hydrogen-for-industry/distribution.html</t>
  </si>
  <si>
    <t>Air Liquide web site 11-5-2013</t>
  </si>
  <si>
    <t>Pipeline and Gas Journal</t>
  </si>
  <si>
    <t>http://pipelineandgasjournal.com/linde-supplying-hydrogen-shell-texas-refinery-new-14-mile-pipeline</t>
  </si>
  <si>
    <t>http://www.caller2.com/busarch/bus1016.htm</t>
  </si>
  <si>
    <t>Caller-Times Interactive</t>
  </si>
  <si>
    <t>Air Liquide press release August 31, 2006</t>
  </si>
  <si>
    <t>http://www.us.airliquide.com/en/rss/air-liquide-develops-its-hydrogen-business-in-the-us.html</t>
  </si>
  <si>
    <t>http://www.prnewswire.com/news-releases/air-liquide-expands-its-hydrogen-production-and-distribution-in-south-texas-72387162.html</t>
  </si>
  <si>
    <t>PR Newswire</t>
  </si>
  <si>
    <t>Freeport to LaPorte, TX</t>
  </si>
  <si>
    <t>ICIS.com</t>
  </si>
  <si>
    <t>http://www.icis.com/Articles/2007/10/25/9072854/air-liquide-to-raise-us-gulf-hydrogen-production.html</t>
  </si>
  <si>
    <t>Praxair presentation at Citi Conference 11/26/2012</t>
  </si>
  <si>
    <t>http://www.icis.com/resources/news/1997/08/13/34466/praxair-to-supply-hydrogen-to-steel-firm/</t>
  </si>
  <si>
    <t>http://www.pipelineintelligence.com/2012/06/01/report-volume-xxiii-number-19-june-1-2012/</t>
  </si>
  <si>
    <t>Pipeline Intelligence Company</t>
  </si>
  <si>
    <t>Sarnia, Ontario</t>
  </si>
  <si>
    <t>Edmonton, Alberta</t>
  </si>
  <si>
    <t>Praxair Press Release September 12, 2013</t>
  </si>
  <si>
    <t>Northeast Capital Industrial Association</t>
  </si>
  <si>
    <t>http://www.ncia.ab.ca/pdf/member_praxair.pdf</t>
  </si>
  <si>
    <t>California, Ontario</t>
  </si>
  <si>
    <t>Michigan, Ecorse</t>
  </si>
  <si>
    <t>Indiana, Whiting</t>
  </si>
  <si>
    <t>Alberta, Edmonton</t>
  </si>
  <si>
    <t>US Total</t>
  </si>
  <si>
    <t>US &amp; Canada Total</t>
  </si>
  <si>
    <t>U.S. and Canada Total</t>
  </si>
  <si>
    <t>http://www.industrialheartland.com/index.php?option=com_content&amp;task=view&amp;id=152&amp;Itemid=33</t>
  </si>
  <si>
    <t>Alberta's Industrial Heartland</t>
  </si>
  <si>
    <t>PHMSA 12/14/2012 letter to Air Products</t>
  </si>
  <si>
    <t>http://primis.phmsa.dot.gov/comm/reports/enforce/documents/520120015/520120015_Final%20Order_12142012.pdf</t>
  </si>
  <si>
    <t>Oklahoma</t>
  </si>
  <si>
    <t>Utah</t>
  </si>
  <si>
    <t>Washington</t>
  </si>
  <si>
    <t>Source: U.S. Pipeline and Hazardous Materials Safety Administration</t>
  </si>
  <si>
    <t>http://www.icis.com/Articles/2011/06/03/9465859/air-liquide-expects-singapore-sales-to-hit-s1bn-by-2015.html</t>
  </si>
  <si>
    <t>linkedin.com</t>
  </si>
  <si>
    <t>Resume for Charlie James, Director Pipeline Infrastructure and development, Air Liquide</t>
  </si>
  <si>
    <t>21,22</t>
  </si>
  <si>
    <t>http://www.airliquideadvancedbusiness.com/en/who-we-are/local-news/air-liquide-joins-h2usa.html</t>
  </si>
  <si>
    <t>Air Liquide press release, August 8, 2013</t>
  </si>
  <si>
    <t>Air Liquide press release, August 31, 2006</t>
  </si>
  <si>
    <t>Air Liquide Investor Day December 11, 2013</t>
  </si>
  <si>
    <t>Texas City, TX Spur</t>
  </si>
  <si>
    <t>Freeport to Sweeny, TX</t>
  </si>
  <si>
    <t>Corpus Christi to Three Rivers, TX</t>
  </si>
  <si>
    <t>Corpus Christi to Bishop, TX</t>
  </si>
  <si>
    <t>Bayport to Port Arthur, TX</t>
  </si>
  <si>
    <t>reuters.com</t>
  </si>
  <si>
    <t>http://www.reuters.com/article/2011/01/10/idUS193091+10-Jan-2011+BW20110110</t>
  </si>
  <si>
    <t>Ohio, Lima</t>
  </si>
  <si>
    <t>Utah, Salt Lake City</t>
  </si>
  <si>
    <t>http://www.the-linde-group.com/internet.global.thelindegroup.global/en/images/HydrogenBrochure_EN14_10196.pdf</t>
  </si>
  <si>
    <t>Linde; Hydrogen Solutions from Linde Gas</t>
  </si>
  <si>
    <t>Else</t>
  </si>
  <si>
    <t>Roads2HyCom; European Hydrogen Infrastructure Atlas, July 2007</t>
  </si>
  <si>
    <t>UK</t>
  </si>
  <si>
    <t>Singapore</t>
  </si>
  <si>
    <t>Vietnam</t>
  </si>
  <si>
    <t>http://www.sgs.com/Our-Company/News-and-Media-Center/News-and-Press-Releases/2013/08/Linde-Gas-Vietnam-Chooses-SGS-for-Industrial-Pipeline-Project.aspx</t>
  </si>
  <si>
    <t>SGS</t>
  </si>
  <si>
    <t>Frankfurt-Hoechst</t>
  </si>
  <si>
    <t>Hydrogen and Fuel Cells: Fundamentals, Technologies and Applications</t>
  </si>
  <si>
    <t>Pakistan</t>
  </si>
  <si>
    <t>Muhammad Arselan Linkedin resume</t>
  </si>
  <si>
    <t>https://www.linkedin.com/pub/muhammad-arsalan/21/882/887</t>
  </si>
  <si>
    <t xml:space="preserve">Germany </t>
  </si>
  <si>
    <t>Leuna/Bitterfeld</t>
  </si>
  <si>
    <t>Rhine/Ruhr</t>
  </si>
  <si>
    <t>Region/City</t>
  </si>
  <si>
    <t>China</t>
  </si>
  <si>
    <t>Xuzhou</t>
  </si>
  <si>
    <t>http://www.linde.com.cn/en/news_and_media/press_releases/news2010_10_01.html</t>
  </si>
  <si>
    <t>Linde press release, November 2010</t>
  </si>
  <si>
    <t>AL Subtotal</t>
  </si>
  <si>
    <t>AP Subtotal</t>
  </si>
  <si>
    <t>Linde Subtotal</t>
  </si>
  <si>
    <t>Europe</t>
  </si>
  <si>
    <t>World total</t>
  </si>
  <si>
    <t>Texas, Clear Lake to Deer Park</t>
  </si>
  <si>
    <t>TheFreeLibrary</t>
  </si>
  <si>
    <t>http://www.thefreelibrary.com/BOC+Begins+Supplying+Hydrogen+to+Chevron,+Holly+Corp.+Subsidiary+from...-a0164639856</t>
  </si>
  <si>
    <t>New York, Niagara Falls</t>
  </si>
  <si>
    <t>Alberta, Scotford</t>
  </si>
  <si>
    <t>Alberta Energy and Utilities Board, Calgary</t>
  </si>
  <si>
    <t>http://www.aer.ca/documents/decisions/2000/2000-30.PDF</t>
  </si>
  <si>
    <t>Patrick Schmidt (2008)</t>
  </si>
  <si>
    <t>this spreadsheet</t>
  </si>
  <si>
    <t>Brazil</t>
  </si>
  <si>
    <t>Camacari</t>
  </si>
  <si>
    <t>Thailand</t>
  </si>
  <si>
    <t>Jurong Island</t>
  </si>
  <si>
    <t>New Energy Externalities Developments for Sustainability; March 2005</t>
  </si>
  <si>
    <t>Texas Subtotal</t>
  </si>
  <si>
    <t>Louisiana Subtotal</t>
  </si>
  <si>
    <t>Infrastructure for Hydrogen Mobility</t>
  </si>
  <si>
    <t>http://www.afhypac.org/images/documents/ecartec_20130417.pdf</t>
  </si>
  <si>
    <t>South Korea</t>
  </si>
  <si>
    <t>http://www.airliquide.com/en/desulfurizing-fuels.html</t>
  </si>
  <si>
    <t>Desulfurizing Fuels; Air Liquide web site</t>
  </si>
  <si>
    <t>Shanghai</t>
  </si>
  <si>
    <t>Tianjin</t>
  </si>
  <si>
    <t>Phu My</t>
  </si>
  <si>
    <t>Hasan Abdal</t>
  </si>
  <si>
    <t>Map Ta Phut</t>
  </si>
  <si>
    <t>Yeosu</t>
  </si>
  <si>
    <t>Liaoyang</t>
  </si>
  <si>
    <t>https://www.euronext.com/en/content/air-liquide%C2%A0china-strengthening-hydrogen-market</t>
  </si>
  <si>
    <t>Air Liquide: China: Strengthening in the Hydrogen Market</t>
  </si>
  <si>
    <t>Praxair Global Hydrogen Growth Investor Day June 22, 2011</t>
  </si>
  <si>
    <t>Ulsan</t>
  </si>
  <si>
    <t>Hydrogen Industry and Association of Korea; Junbom Kim</t>
  </si>
  <si>
    <t>Deokyang</t>
  </si>
  <si>
    <t>Leuna/Bitterfield</t>
  </si>
  <si>
    <t>http://www.praxair.com/~/media/North%20America/US/Documents/News%20Releases/2015/Praxair%20Gulf%20Coast%20Project%20to%20Supply%20Freeport.pdf</t>
  </si>
  <si>
    <t>Praxair News Release; February 19, 2015</t>
  </si>
  <si>
    <t>Linde (BOC)</t>
  </si>
  <si>
    <t>Australia</t>
  </si>
  <si>
    <t>Japan</t>
  </si>
  <si>
    <t>Iwatani</t>
  </si>
  <si>
    <t>Kitakyushu</t>
  </si>
  <si>
    <t>http://www.iwatani-europe.de/kitakyushu-hydrogen-town.html</t>
  </si>
  <si>
    <t>http://ppo.com.au/projects/altona_to_west_footscray_hydrogen/30012?a=A</t>
  </si>
  <si>
    <t>Pipeline, Plant &amp; Offshore Australia</t>
  </si>
  <si>
    <t>Petrochina Pipeline</t>
  </si>
  <si>
    <t>http://www.gasworld.com/25km-of-hydrogen-pipeline-constructed-in-china/2009570.article</t>
  </si>
  <si>
    <t>Korea</t>
  </si>
  <si>
    <t>Pohang</t>
  </si>
  <si>
    <t>IOMA Broadcaster March - April 2005</t>
  </si>
  <si>
    <t>http://www.iomaweb.org/PDF/22BC05_Mar-Apr.pdf</t>
  </si>
  <si>
    <t>Operator Name</t>
  </si>
  <si>
    <t>Intrastate Miles</t>
  </si>
  <si>
    <t>Interstate Miles</t>
  </si>
  <si>
    <t>Total Miles</t>
  </si>
  <si>
    <t>US AMINES</t>
  </si>
  <si>
    <t>Database accessed July 20, 2016</t>
  </si>
  <si>
    <t>AIR LIQUIDE</t>
  </si>
  <si>
    <t>AKZO NOBEL</t>
  </si>
  <si>
    <t>BUCKEYE</t>
  </si>
  <si>
    <t>CITGO</t>
  </si>
  <si>
    <t>EQUISTAR</t>
  </si>
  <si>
    <t>AIR PRODUCTS</t>
  </si>
  <si>
    <t>EXXONMOBIL</t>
  </si>
  <si>
    <t>HOLLY ENERGY</t>
  </si>
  <si>
    <t>HUNTSMAN</t>
  </si>
  <si>
    <t>KOCH</t>
  </si>
  <si>
    <t>LAFITTE</t>
  </si>
  <si>
    <t>LINDE</t>
  </si>
  <si>
    <t>MARATHON</t>
  </si>
  <si>
    <t>MARKWEST JAVELINA</t>
  </si>
  <si>
    <t xml:space="preserve">MOBIL </t>
  </si>
  <si>
    <t xml:space="preserve">OCCIDENTAL </t>
  </si>
  <si>
    <t>PHILLIPS 66</t>
  </si>
  <si>
    <t>OLIN</t>
  </si>
  <si>
    <t>PRAXAIR</t>
  </si>
  <si>
    <t>SASOL</t>
  </si>
  <si>
    <t>DOW</t>
  </si>
  <si>
    <t>TPC GROUP</t>
  </si>
  <si>
    <t>VALERO</t>
  </si>
  <si>
    <t>WESTLAKE</t>
  </si>
  <si>
    <t>Totals</t>
  </si>
  <si>
    <t>Kansas</t>
  </si>
  <si>
    <t>Other Companies</t>
  </si>
  <si>
    <t>Air Liquide presentation - Mobilite hydrogene (Allidieres &amp; Le Mer Oct 2015)</t>
  </si>
  <si>
    <t>http://www.arts-et-metiers.asso.fr/manifestation_cr/cr_1570.pdf</t>
  </si>
  <si>
    <t>Air Liquide presentation - Hydrogen Infrastructure (Edwards Oct 2015)</t>
  </si>
  <si>
    <t>U.S. Other Than AL, AP, L, PX</t>
  </si>
  <si>
    <t>Air Liquide, Air Products, Linde, Praxair</t>
  </si>
  <si>
    <t>Linde per US PHMSA</t>
  </si>
  <si>
    <t>Year</t>
  </si>
  <si>
    <t>Praxair April 27, 2016 press release</t>
  </si>
  <si>
    <t>http://www.praxair.com/news/2016/praxair-invests-in-the-expansion-of-its-geismar-louisiana-facility</t>
  </si>
  <si>
    <t>businesswire.com</t>
  </si>
  <si>
    <t>http://www.businesswire.com/news/home/20050314005946/en/Praxair-Finalizes-Contract-Valero-Build-Hydrogen-Plant</t>
  </si>
  <si>
    <t>http://www.sarnialambton.on.ca/key-sectors/energy-industry/</t>
  </si>
  <si>
    <t>Air Products Conference Presentation May 2014</t>
  </si>
  <si>
    <t>Sarnia-Lambton Ontario web site, accessed July 2016</t>
  </si>
  <si>
    <t>Air Liquide press release, April 25, 2012</t>
  </si>
  <si>
    <t>https://industry.airliquide.us/air-liquide-announces-start-new-steam-methane-reformer-la-porte-texas</t>
  </si>
  <si>
    <t xml:space="preserve">  Buckeye</t>
  </si>
  <si>
    <t xml:space="preserve">  Equistar</t>
  </si>
  <si>
    <t xml:space="preserve">  Koch</t>
  </si>
  <si>
    <t xml:space="preserve">  Phillips 66</t>
  </si>
  <si>
    <t xml:space="preserve">  Other U.S.</t>
  </si>
  <si>
    <t>Texas Railroad Commission Safety Division Permit Data</t>
  </si>
  <si>
    <t>Operator</t>
  </si>
  <si>
    <t>Permit No.</t>
  </si>
  <si>
    <t>Permit Date</t>
  </si>
  <si>
    <t>Gas</t>
  </si>
  <si>
    <t>hydrogen</t>
  </si>
  <si>
    <t>syngas</t>
  </si>
  <si>
    <t>Counties</t>
  </si>
  <si>
    <t>Chambers, Harris, Jefferson, Liberty</t>
  </si>
  <si>
    <t>Harris</t>
  </si>
  <si>
    <t>Brazoria, Galveston, Harris</t>
  </si>
  <si>
    <t>Brazoria, Matagorda</t>
  </si>
  <si>
    <t>Chambers, Harris, Jefferson, Liberty, Orange</t>
  </si>
  <si>
    <t>Chambers, Harris, Jefferson</t>
  </si>
  <si>
    <t>Total hydrogen</t>
  </si>
  <si>
    <t>Duval, Jim Wells, Live Oak, McMullen, Nueces</t>
  </si>
  <si>
    <t>Chambers, Galveston, Harris, Jefferson, Liberty, Orange</t>
  </si>
  <si>
    <t>Galveston, Harris</t>
  </si>
  <si>
    <t>USPHMSA</t>
  </si>
  <si>
    <t>%</t>
  </si>
  <si>
    <t>AL, AP, L, PX total</t>
  </si>
  <si>
    <t>Henan Province</t>
  </si>
  <si>
    <t>Others Subtotal</t>
  </si>
  <si>
    <t>Hydrogen Pipelines</t>
  </si>
  <si>
    <t>U.S. and Canada Hydrogen Pipelines</t>
  </si>
  <si>
    <t>Europe Hydrogen Pipelines</t>
  </si>
  <si>
    <t>Asia and Australia Hydrogen Pipelines</t>
  </si>
  <si>
    <t>HyARC Sources</t>
  </si>
  <si>
    <t>Altona</t>
  </si>
  <si>
    <t>Hastings</t>
  </si>
  <si>
    <t>Air Liquide presentation, Barbier and Kerteux, 21_June_2016</t>
  </si>
  <si>
    <t>State of Louisiana</t>
  </si>
  <si>
    <t>Office of Conservation</t>
  </si>
  <si>
    <t>Pipeline Division</t>
  </si>
  <si>
    <t>Mark Browing, Manager</t>
  </si>
  <si>
    <t>Intrastate Pipelines</t>
  </si>
  <si>
    <t>no pipelines in LA</t>
  </si>
  <si>
    <t>Notes</t>
  </si>
  <si>
    <t>Texas City, TX to Freeport, TX</t>
  </si>
  <si>
    <t>Air Liquide per TX RRC</t>
  </si>
  <si>
    <t>Air Liquide per LA Pipeline Division</t>
  </si>
  <si>
    <t>Classification</t>
  </si>
  <si>
    <t>intrastate</t>
  </si>
  <si>
    <t>Deer Park pipeline</t>
  </si>
  <si>
    <t>South Texas syngas pipeline</t>
  </si>
  <si>
    <t>originally for Bayport to Freeport pipeline. Now includes that originally under permit 5468</t>
  </si>
  <si>
    <t>originally for Corpus Christi pipeline.  Now includes that originally under permit 5414</t>
  </si>
  <si>
    <t>interstate</t>
  </si>
  <si>
    <t>incorporates pipelines previously operated under permits 6362 and 6082</t>
  </si>
  <si>
    <t>incorporates pipeline previously operated under permit 5625</t>
  </si>
  <si>
    <t>Personal communication with Jody Arner, APC Pipeline Maintenance</t>
  </si>
  <si>
    <t>Personal communication with John Maitano, PX Pipeline Compliance Manager</t>
  </si>
  <si>
    <t>has interstate pipeline too</t>
  </si>
  <si>
    <t>Texas City, TX to LA border</t>
  </si>
  <si>
    <t>41,52</t>
  </si>
  <si>
    <t>Louisiana; TX border to Lake Charles</t>
  </si>
  <si>
    <t>Louisiana; Baton Rouge to Taft</t>
  </si>
  <si>
    <t>Air Liquide per PHMSA</t>
  </si>
  <si>
    <t>Air Liquide Presentation</t>
  </si>
  <si>
    <t>Personal communication with Mark Browning, Louisiana Pipeline Commission</t>
  </si>
  <si>
    <t>Subtotal of Above</t>
  </si>
  <si>
    <t>Air Liquide per State Data</t>
  </si>
  <si>
    <t>TX RRC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</si>
</sst>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5D9E2"/>
      </patternFill>
    </fill>
  </fills>
  <borders count="1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/>
      <top/>
      <bottom style="thin">
        <color rgb="FF959595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7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3" borderId="0" xfId="0" applyFont="1" applyFill="1"/>
    <xf numFmtId="0" fontId="3" fillId="3" borderId="0" xfId="0" applyFont="1" applyFill="1"/>
    <xf numFmtId="0" fontId="4" fillId="4" borderId="0" xfId="0" applyFont="1" applyFill="1"/>
    <xf numFmtId="0" fontId="3" fillId="4" borderId="0" xfId="0" applyFont="1" applyFill="1"/>
    <xf numFmtId="1" fontId="4" fillId="4" borderId="0" xfId="0" applyNumberFormat="1" applyFont="1" applyFill="1"/>
    <xf numFmtId="1" fontId="3" fillId="4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4" fillId="5" borderId="0" xfId="0" applyFont="1" applyFill="1"/>
    <xf numFmtId="0" fontId="3" fillId="5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Alignment="1" applyProtection="1"/>
    <xf numFmtId="1" fontId="3" fillId="0" borderId="0" xfId="0" applyNumberFormat="1" applyFont="1"/>
    <xf numFmtId="0" fontId="9" fillId="0" borderId="0" xfId="0" applyFont="1" applyAlignment="1">
      <alignment vertical="center"/>
    </xf>
    <xf numFmtId="1" fontId="4" fillId="0" borderId="0" xfId="0" applyNumberFormat="1" applyFont="1"/>
    <xf numFmtId="1" fontId="4" fillId="0" borderId="0" xfId="0" applyNumberFormat="1" applyFont="1" applyFill="1"/>
    <xf numFmtId="0" fontId="10" fillId="0" borderId="0" xfId="0" applyFont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3" fillId="7" borderId="0" xfId="0" applyFont="1" applyFill="1"/>
    <xf numFmtId="1" fontId="4" fillId="3" borderId="0" xfId="0" applyNumberFormat="1" applyFont="1" applyFill="1"/>
    <xf numFmtId="1" fontId="3" fillId="3" borderId="0" xfId="0" applyNumberFormat="1" applyFont="1" applyFill="1"/>
    <xf numFmtId="1" fontId="4" fillId="5" borderId="0" xfId="0" applyNumberFormat="1" applyFont="1" applyFill="1" applyAlignment="1">
      <alignment horizontal="right"/>
    </xf>
    <xf numFmtId="1" fontId="3" fillId="5" borderId="0" xfId="0" applyNumberFormat="1" applyFont="1" applyFill="1" applyAlignment="1">
      <alignment horizontal="right"/>
    </xf>
    <xf numFmtId="1" fontId="4" fillId="7" borderId="0" xfId="0" applyNumberFormat="1" applyFont="1" applyFill="1"/>
    <xf numFmtId="1" fontId="3" fillId="7" borderId="0" xfId="0" applyNumberFormat="1" applyFont="1" applyFill="1"/>
    <xf numFmtId="164" fontId="3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165" fontId="13" fillId="0" borderId="2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left" vertical="top" wrapText="1"/>
    </xf>
    <xf numFmtId="165" fontId="13" fillId="0" borderId="4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horizontal="right" vertical="top" wrapText="1"/>
    </xf>
    <xf numFmtId="165" fontId="13" fillId="0" borderId="3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center" wrapText="1"/>
    </xf>
    <xf numFmtId="0" fontId="15" fillId="8" borderId="2" xfId="0" applyFont="1" applyFill="1" applyBorder="1" applyAlignment="1">
      <alignment horizontal="center" wrapText="1"/>
    </xf>
    <xf numFmtId="165" fontId="3" fillId="0" borderId="0" xfId="0" applyNumberFormat="1" applyFont="1"/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/>
    <xf numFmtId="165" fontId="13" fillId="0" borderId="4" xfId="0" applyNumberFormat="1" applyFont="1" applyBorder="1" applyAlignment="1">
      <alignment horizontal="right" wrapText="1"/>
    </xf>
    <xf numFmtId="4" fontId="13" fillId="0" borderId="2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left" wrapText="1"/>
    </xf>
    <xf numFmtId="14" fontId="0" fillId="0" borderId="0" xfId="0" applyNumberFormat="1"/>
    <xf numFmtId="2" fontId="0" fillId="0" borderId="0" xfId="0" applyNumberFormat="1"/>
    <xf numFmtId="0" fontId="6" fillId="0" borderId="0" xfId="0" applyFont="1"/>
    <xf numFmtId="166" fontId="14" fillId="0" borderId="0" xfId="2" applyNumberFormat="1" applyFont="1"/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5" borderId="9" xfId="0" applyFont="1" applyFill="1" applyBorder="1"/>
    <xf numFmtId="1" fontId="0" fillId="5" borderId="0" xfId="0" applyNumberFormat="1" applyFill="1" applyBorder="1"/>
    <xf numFmtId="0" fontId="4" fillId="5" borderId="10" xfId="0" applyFont="1" applyFill="1" applyBorder="1" applyAlignment="1">
      <alignment horizontal="center"/>
    </xf>
    <xf numFmtId="0" fontId="4" fillId="7" borderId="9" xfId="0" applyFont="1" applyFill="1" applyBorder="1"/>
    <xf numFmtId="1" fontId="0" fillId="7" borderId="0" xfId="0" applyNumberFormat="1" applyFill="1" applyBorder="1"/>
    <xf numFmtId="0" fontId="4" fillId="7" borderId="10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9" xfId="0" applyFont="1" applyFill="1" applyBorder="1"/>
    <xf numFmtId="1" fontId="0" fillId="0" borderId="0" xfId="0" applyNumberFormat="1" applyBorder="1"/>
    <xf numFmtId="0" fontId="4" fillId="0" borderId="10" xfId="0" applyFont="1" applyFill="1" applyBorder="1" applyAlignment="1">
      <alignment horizontal="center"/>
    </xf>
    <xf numFmtId="0" fontId="3" fillId="0" borderId="9" xfId="0" applyFont="1" applyFill="1" applyBorder="1"/>
    <xf numFmtId="1" fontId="3" fillId="0" borderId="0" xfId="0" applyNumberFormat="1" applyFont="1" applyBorder="1"/>
    <xf numFmtId="0" fontId="4" fillId="0" borderId="9" xfId="0" applyFont="1" applyBorder="1"/>
    <xf numFmtId="0" fontId="3" fillId="0" borderId="11" xfId="0" applyFont="1" applyBorder="1"/>
    <xf numFmtId="0" fontId="0" fillId="0" borderId="13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/>
    <xf numFmtId="0" fontId="4" fillId="4" borderId="0" xfId="0" applyFont="1" applyFill="1" applyBorder="1"/>
    <xf numFmtId="0" fontId="3" fillId="4" borderId="9" xfId="0" applyFont="1" applyFill="1" applyBorder="1"/>
    <xf numFmtId="0" fontId="3" fillId="4" borderId="0" xfId="0" applyFont="1" applyFill="1" applyBorder="1"/>
    <xf numFmtId="1" fontId="3" fillId="4" borderId="0" xfId="0" applyNumberFormat="1" applyFont="1" applyFill="1" applyBorder="1"/>
    <xf numFmtId="0" fontId="4" fillId="0" borderId="0" xfId="0" applyFont="1" applyFill="1" applyBorder="1"/>
    <xf numFmtId="0" fontId="4" fillId="5" borderId="0" xfId="0" applyFont="1" applyFill="1" applyBorder="1"/>
    <xf numFmtId="0" fontId="3" fillId="5" borderId="9" xfId="0" applyFont="1" applyFill="1" applyBorder="1"/>
    <xf numFmtId="0" fontId="3" fillId="5" borderId="0" xfId="0" applyFont="1" applyFill="1" applyBorder="1"/>
    <xf numFmtId="1" fontId="3" fillId="5" borderId="0" xfId="0" applyNumberFormat="1" applyFont="1" applyFill="1" applyBorder="1"/>
    <xf numFmtId="0" fontId="4" fillId="7" borderId="0" xfId="0" applyFont="1" applyFill="1" applyBorder="1"/>
    <xf numFmtId="0" fontId="0" fillId="7" borderId="10" xfId="0" applyFill="1" applyBorder="1" applyAlignment="1">
      <alignment horizontal="center"/>
    </xf>
    <xf numFmtId="0" fontId="0" fillId="7" borderId="0" xfId="0" applyFill="1" applyBorder="1"/>
    <xf numFmtId="0" fontId="3" fillId="7" borderId="9" xfId="0" applyFont="1" applyFill="1" applyBorder="1"/>
    <xf numFmtId="1" fontId="3" fillId="7" borderId="0" xfId="0" applyNumberFormat="1" applyFont="1" applyFill="1" applyBorder="1"/>
    <xf numFmtId="0" fontId="0" fillId="0" borderId="0" xfId="0" applyFill="1" applyBorder="1"/>
    <xf numFmtId="0" fontId="4" fillId="0" borderId="0" xfId="0" applyFont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0" fontId="0" fillId="4" borderId="9" xfId="0" applyFill="1" applyBorder="1"/>
    <xf numFmtId="0" fontId="0" fillId="4" borderId="0" xfId="0" applyFill="1" applyBorder="1"/>
    <xf numFmtId="1" fontId="0" fillId="4" borderId="0" xfId="0" applyNumberFormat="1" applyFill="1" applyBorder="1"/>
    <xf numFmtId="0" fontId="0" fillId="4" borderId="10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0" fillId="7" borderId="10" xfId="0" applyFill="1" applyBorder="1"/>
    <xf numFmtId="0" fontId="0" fillId="6" borderId="0" xfId="0" applyFill="1" applyBorder="1"/>
    <xf numFmtId="1" fontId="0" fillId="6" borderId="0" xfId="0" applyNumberFormat="1" applyFill="1" applyBorder="1"/>
    <xf numFmtId="0" fontId="0" fillId="6" borderId="10" xfId="0" applyFill="1" applyBorder="1"/>
    <xf numFmtId="0" fontId="0" fillId="0" borderId="11" xfId="0" applyBorder="1"/>
    <xf numFmtId="0" fontId="3" fillId="6" borderId="12" xfId="0" applyFont="1" applyFill="1" applyBorder="1"/>
    <xf numFmtId="1" fontId="3" fillId="6" borderId="12" xfId="0" applyNumberFormat="1" applyFont="1" applyFill="1" applyBorder="1"/>
    <xf numFmtId="0" fontId="3" fillId="0" borderId="12" xfId="0" applyFont="1" applyBorder="1"/>
    <xf numFmtId="0" fontId="4" fillId="4" borderId="0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1" fontId="0" fillId="5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0" xfId="0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994660" cy="670560"/>
    <xdr:sp macro="" textlink="">
      <xdr:nvSpPr>
        <xdr:cNvPr id="3" name="TextBox 2"/>
        <xdr:cNvSpPr txBox="1"/>
      </xdr:nvSpPr>
      <xdr:spPr>
        <a:xfrm>
          <a:off x="609600" y="5890260"/>
          <a:ext cx="2994660" cy="6705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Notice 0.8 mile difference</a:t>
          </a:r>
          <a:r>
            <a:rPr lang="en-US" sz="1100" b="1" baseline="0"/>
            <a:t> between PMHSA data on owner worksheet and data on state worksheet.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0</xdr:rowOff>
    </xdr:from>
    <xdr:ext cx="2628900" cy="662940"/>
    <xdr:sp macro="" textlink="">
      <xdr:nvSpPr>
        <xdr:cNvPr id="3" name="TextBox 2"/>
        <xdr:cNvSpPr txBox="1"/>
      </xdr:nvSpPr>
      <xdr:spPr>
        <a:xfrm>
          <a:off x="609600" y="3589020"/>
          <a:ext cx="2628900" cy="66294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Notice 0.8 mile difference</a:t>
          </a:r>
          <a:r>
            <a:rPr lang="en-US" sz="1100" b="1" baseline="0"/>
            <a:t> between PMHSA data on owner worksheet and data on state worksheet.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xair.com/~/media/North%20America/US/Documents/News%20Releases/2015/Praxair%20Gulf%20Coast%20Project%20to%20Supply%20Freeport.pdf" TargetMode="External"/><Relationship Id="rId3" Type="http://schemas.openxmlformats.org/officeDocument/2006/relationships/hyperlink" Target="http://www.ncia.ab.ca/pdf/member_praxair.pdf" TargetMode="External"/><Relationship Id="rId7" Type="http://schemas.openxmlformats.org/officeDocument/2006/relationships/hyperlink" Target="http://www.aer.ca/documents/decisions/2000/2000-30.PDF" TargetMode="External"/><Relationship Id="rId12" Type="http://schemas.openxmlformats.org/officeDocument/2006/relationships/comments" Target="../comments6.xml"/><Relationship Id="rId2" Type="http://schemas.openxmlformats.org/officeDocument/2006/relationships/hyperlink" Target="http://www.airliquideadvancedbusiness.com/en/who-we-are/local-news/air-liquide-joins-h2usa.html" TargetMode="External"/><Relationship Id="rId1" Type="http://schemas.openxmlformats.org/officeDocument/2006/relationships/hyperlink" Target="http://www.planete-hydrogene.com/en/air-liquide-and-hydrogen-3/hydrogen-for-industry/distribution.html" TargetMode="External"/><Relationship Id="rId6" Type="http://schemas.openxmlformats.org/officeDocument/2006/relationships/hyperlink" Target="http://www.industrialheartland.com/index.php?option=com_content&amp;task=view&amp;id=152&amp;Itemid=33" TargetMode="External"/><Relationship Id="rId11" Type="http://schemas.openxmlformats.org/officeDocument/2006/relationships/vmlDrawing" Target="../drawings/vmlDrawing6.vml"/><Relationship Id="rId5" Type="http://schemas.openxmlformats.org/officeDocument/2006/relationships/hyperlink" Target="http://www.icis.com/resources/news/1997/08/13/34466/praxair-to-supply-hydrogen-to-steel-firm/" TargetMode="External"/><Relationship Id="rId10" Type="http://schemas.openxmlformats.org/officeDocument/2006/relationships/hyperlink" Target="http://www.afhypac.org/images/documents/ecartec_20130417.pdf" TargetMode="External"/><Relationship Id="rId4" Type="http://schemas.openxmlformats.org/officeDocument/2006/relationships/hyperlink" Target="http://www.praxair.com/services/industrial-gas-supply-and-management/gas-pipelines" TargetMode="External"/><Relationship Id="rId9" Type="http://schemas.openxmlformats.org/officeDocument/2006/relationships/hyperlink" Target="http://www.praxair.com/news/2016/praxair-invests-in-the-expansion-of-its-geismar-louisiana-faci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E19" sqref="E19"/>
    </sheetView>
  </sheetViews>
  <sheetFormatPr defaultRowHeight="13.2" x14ac:dyDescent="0.25"/>
  <cols>
    <col min="2" max="2" width="12.44140625" customWidth="1"/>
    <col min="3" max="3" width="10.5546875" customWidth="1"/>
    <col min="5" max="5" width="16.77734375" customWidth="1"/>
  </cols>
  <sheetData>
    <row r="1" spans="2:8" ht="15.6" x14ac:dyDescent="0.3">
      <c r="B1" s="149" t="s">
        <v>257</v>
      </c>
      <c r="C1" s="150"/>
      <c r="D1" s="150"/>
      <c r="E1" s="151"/>
    </row>
    <row r="2" spans="2:8" ht="13.8" thickBot="1" x14ac:dyDescent="0.3">
      <c r="B2" s="83" t="s">
        <v>1</v>
      </c>
      <c r="C2" s="85" t="s">
        <v>21</v>
      </c>
      <c r="D2" s="85" t="s">
        <v>19</v>
      </c>
      <c r="E2" s="86" t="s">
        <v>0</v>
      </c>
    </row>
    <row r="3" spans="2:8" x14ac:dyDescent="0.25">
      <c r="B3" s="64"/>
      <c r="C3" s="65"/>
      <c r="D3" s="65"/>
      <c r="E3" s="66"/>
    </row>
    <row r="4" spans="2:8" x14ac:dyDescent="0.25">
      <c r="B4" s="67" t="s">
        <v>5</v>
      </c>
      <c r="C4" s="125">
        <f>'US &amp; Canada '!E43+'Europe '!E10+'Rest of World'!E10</f>
        <v>1936</v>
      </c>
      <c r="D4" s="125">
        <f>C4/1.60927</f>
        <v>1203.0299452546808</v>
      </c>
      <c r="E4" s="68" t="s">
        <v>137</v>
      </c>
      <c r="G4" s="1"/>
      <c r="H4" s="129"/>
    </row>
    <row r="5" spans="2:8" x14ac:dyDescent="0.25">
      <c r="B5" s="69" t="s">
        <v>4</v>
      </c>
      <c r="C5" s="145">
        <f>'US &amp; Canada '!E28+'Europe '!E15+'Rest of World'!E15</f>
        <v>1140.1181999999999</v>
      </c>
      <c r="D5" s="145">
        <f>C5/1.60927</f>
        <v>708.46918167864931</v>
      </c>
      <c r="E5" s="71" t="s">
        <v>137</v>
      </c>
    </row>
    <row r="6" spans="2:8" x14ac:dyDescent="0.25">
      <c r="B6" s="72" t="s">
        <v>37</v>
      </c>
      <c r="C6" s="135">
        <f>'US &amp; Canada '!E51+'Europe '!E20+'Rest of World'!E23</f>
        <v>244.46564579999998</v>
      </c>
      <c r="D6" s="135">
        <f>C6/1.60927</f>
        <v>151.91089487780172</v>
      </c>
      <c r="E6" s="74" t="s">
        <v>137</v>
      </c>
    </row>
    <row r="7" spans="2:8" x14ac:dyDescent="0.25">
      <c r="B7" s="75" t="s">
        <v>2</v>
      </c>
      <c r="C7" s="146">
        <f>D7*1.60927</f>
        <v>739.07334019999996</v>
      </c>
      <c r="D7" s="146">
        <f>'US &amp; Canada '!D18</f>
        <v>459.26</v>
      </c>
      <c r="E7" s="76" t="s">
        <v>137</v>
      </c>
    </row>
    <row r="8" spans="2:8" x14ac:dyDescent="0.25">
      <c r="B8" s="77" t="s">
        <v>22</v>
      </c>
      <c r="C8" s="140">
        <f>'Europe '!E22+'US &amp; Canada '!E54+'US &amp; Canada '!E55+'Rest of World'!E28</f>
        <v>482.79842567999992</v>
      </c>
      <c r="D8" s="140">
        <f>C8/1.60927</f>
        <v>300.01082831345883</v>
      </c>
      <c r="E8" s="79" t="s">
        <v>137</v>
      </c>
    </row>
    <row r="9" spans="2:8" x14ac:dyDescent="0.25">
      <c r="B9" s="80" t="s">
        <v>35</v>
      </c>
      <c r="C9" s="139">
        <f>SUM(C4:C8)</f>
        <v>4542.4556116799995</v>
      </c>
      <c r="D9" s="139">
        <f>SUM(D4:D8)</f>
        <v>2822.6808501245905</v>
      </c>
      <c r="E9" s="79"/>
    </row>
    <row r="10" spans="2:8" x14ac:dyDescent="0.25">
      <c r="B10" s="64"/>
      <c r="C10" s="134"/>
      <c r="D10" s="134"/>
      <c r="E10" s="79"/>
    </row>
    <row r="11" spans="2:8" x14ac:dyDescent="0.25">
      <c r="B11" s="82" t="s">
        <v>6</v>
      </c>
      <c r="C11" s="140">
        <f>'US &amp; Canada '!E62</f>
        <v>2608.0583916800001</v>
      </c>
      <c r="D11" s="140">
        <f>C11/1.60927</f>
        <v>1620.6468719854345</v>
      </c>
      <c r="E11" s="79" t="s">
        <v>137</v>
      </c>
    </row>
    <row r="12" spans="2:8" x14ac:dyDescent="0.25">
      <c r="B12" s="82" t="s">
        <v>127</v>
      </c>
      <c r="C12" s="140">
        <f>'Europe '!E24</f>
        <v>1597.7</v>
      </c>
      <c r="D12" s="140">
        <f>'Europe '!F24</f>
        <v>992.81040471766698</v>
      </c>
      <c r="E12" s="79" t="s">
        <v>137</v>
      </c>
    </row>
    <row r="13" spans="2:8" x14ac:dyDescent="0.25">
      <c r="B13" s="82" t="s">
        <v>34</v>
      </c>
      <c r="C13" s="140">
        <f>'US &amp; Canada '!E63+'Rest of World'!E30</f>
        <v>336.69722000000002</v>
      </c>
      <c r="D13" s="140">
        <f>C13/1.60927</f>
        <v>209.22357342148925</v>
      </c>
      <c r="E13" s="79" t="s">
        <v>137</v>
      </c>
    </row>
    <row r="14" spans="2:8" ht="13.8" thickBot="1" x14ac:dyDescent="0.3">
      <c r="B14" s="83" t="s">
        <v>128</v>
      </c>
      <c r="C14" s="141">
        <f>SUM(C11:C13)</f>
        <v>4542.4556116800004</v>
      </c>
      <c r="D14" s="141">
        <f>SUM(D11:D13)</f>
        <v>2822.6808501245905</v>
      </c>
      <c r="E14" s="84"/>
    </row>
  </sheetData>
  <mergeCells count="1">
    <mergeCell ref="B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63"/>
  <sheetViews>
    <sheetView workbookViewId="0">
      <pane ySplit="3" topLeftCell="A28" activePane="bottomLeft" state="frozen"/>
      <selection pane="bottomLeft" activeCell="H38" sqref="H38"/>
    </sheetView>
  </sheetViews>
  <sheetFormatPr defaultColWidth="9.109375" defaultRowHeight="13.2" x14ac:dyDescent="0.25"/>
  <cols>
    <col min="1" max="1" width="9.109375" style="3"/>
    <col min="2" max="2" width="30.77734375" style="3" customWidth="1"/>
    <col min="3" max="3" width="32.44140625" style="3" customWidth="1"/>
    <col min="4" max="5" width="10.88671875" style="3" customWidth="1"/>
    <col min="6" max="6" width="10.77734375" style="3" customWidth="1"/>
    <col min="7" max="7" width="10.77734375" style="23" customWidth="1"/>
    <col min="8" max="8" width="33" style="3" customWidth="1"/>
    <col min="9" max="16384" width="9.109375" style="3"/>
  </cols>
  <sheetData>
    <row r="1" spans="2:8" ht="15.6" x14ac:dyDescent="0.3">
      <c r="B1" s="152" t="s">
        <v>258</v>
      </c>
      <c r="C1" s="152"/>
      <c r="D1" s="152"/>
      <c r="E1" s="152"/>
      <c r="F1" s="152"/>
      <c r="G1" s="152"/>
    </row>
    <row r="2" spans="2:8" x14ac:dyDescent="0.25">
      <c r="B2" s="2" t="s">
        <v>1</v>
      </c>
      <c r="C2" s="2" t="s">
        <v>3</v>
      </c>
      <c r="D2" s="4" t="s">
        <v>19</v>
      </c>
      <c r="E2" s="4" t="s">
        <v>21</v>
      </c>
      <c r="F2" s="4" t="s">
        <v>219</v>
      </c>
      <c r="G2" s="4" t="s">
        <v>0</v>
      </c>
    </row>
    <row r="3" spans="2:8" x14ac:dyDescent="0.25">
      <c r="H3" s="2"/>
    </row>
    <row r="4" spans="2:8" s="12" customFormat="1" ht="13.95" customHeight="1" x14ac:dyDescent="0.25">
      <c r="B4" s="6"/>
      <c r="C4" s="6"/>
      <c r="D4" s="6"/>
      <c r="E4" s="6"/>
      <c r="F4" s="6"/>
      <c r="G4" s="19"/>
    </row>
    <row r="5" spans="2:8" s="12" customFormat="1" x14ac:dyDescent="0.25">
      <c r="B5" s="6" t="s">
        <v>2</v>
      </c>
      <c r="C5" s="6" t="s">
        <v>73</v>
      </c>
      <c r="D5" s="6">
        <v>37</v>
      </c>
      <c r="E5" s="33">
        <f>D5*1.60927</f>
        <v>59.542989999999996</v>
      </c>
      <c r="F5" s="33">
        <v>2011</v>
      </c>
      <c r="G5" s="19">
        <v>17</v>
      </c>
    </row>
    <row r="6" spans="2:8" s="12" customFormat="1" x14ac:dyDescent="0.25">
      <c r="B6" s="6"/>
      <c r="C6" s="7" t="s">
        <v>33</v>
      </c>
      <c r="D6" s="7">
        <v>37</v>
      </c>
      <c r="E6" s="34">
        <f>D6*1.60927</f>
        <v>59.542989999999996</v>
      </c>
      <c r="F6" s="33"/>
      <c r="G6" s="19"/>
    </row>
    <row r="7" spans="2:8" s="12" customFormat="1" x14ac:dyDescent="0.25">
      <c r="B7" s="6" t="s">
        <v>2</v>
      </c>
      <c r="C7" s="6" t="s">
        <v>71</v>
      </c>
      <c r="D7" s="33">
        <v>5.51</v>
      </c>
      <c r="E7" s="33">
        <f t="shared" ref="E7:E17" si="0">D7*1.60927</f>
        <v>8.8670776999999994</v>
      </c>
      <c r="F7" s="33">
        <v>2016</v>
      </c>
      <c r="G7" s="19">
        <v>52</v>
      </c>
    </row>
    <row r="8" spans="2:8" s="12" customFormat="1" x14ac:dyDescent="0.25">
      <c r="B8" s="6" t="s">
        <v>2</v>
      </c>
      <c r="C8" s="6" t="s">
        <v>72</v>
      </c>
      <c r="D8" s="33">
        <v>13.87</v>
      </c>
      <c r="E8" s="33">
        <f t="shared" si="0"/>
        <v>22.320574899999997</v>
      </c>
      <c r="F8" s="33">
        <v>2016</v>
      </c>
      <c r="G8" s="19">
        <v>52</v>
      </c>
    </row>
    <row r="9" spans="2:8" s="12" customFormat="1" x14ac:dyDescent="0.25">
      <c r="B9" s="6" t="s">
        <v>2</v>
      </c>
      <c r="C9" s="6" t="s">
        <v>70</v>
      </c>
      <c r="D9" s="33">
        <v>2.12</v>
      </c>
      <c r="E9" s="33">
        <f t="shared" si="0"/>
        <v>3.4116523999999999</v>
      </c>
      <c r="F9" s="33">
        <v>2016</v>
      </c>
      <c r="G9" s="19">
        <v>52</v>
      </c>
    </row>
    <row r="10" spans="2:8" s="12" customFormat="1" x14ac:dyDescent="0.25">
      <c r="B10" s="6" t="s">
        <v>2</v>
      </c>
      <c r="C10" s="6" t="s">
        <v>132</v>
      </c>
      <c r="D10" s="33">
        <v>0.95</v>
      </c>
      <c r="E10" s="33">
        <f t="shared" si="0"/>
        <v>1.5288065</v>
      </c>
      <c r="F10" s="33">
        <v>2016</v>
      </c>
      <c r="G10" s="19">
        <v>52</v>
      </c>
    </row>
    <row r="11" spans="2:8" s="12" customFormat="1" x14ac:dyDescent="0.25">
      <c r="B11" s="6" t="s">
        <v>2</v>
      </c>
      <c r="C11" s="6" t="s">
        <v>287</v>
      </c>
      <c r="D11" s="33">
        <f>206.92+24.15</f>
        <v>231.07</v>
      </c>
      <c r="E11" s="33">
        <f t="shared" si="0"/>
        <v>371.85401889999997</v>
      </c>
      <c r="F11" s="33">
        <v>2016</v>
      </c>
      <c r="G11" s="19">
        <v>52</v>
      </c>
    </row>
    <row r="12" spans="2:8" s="12" customFormat="1" x14ac:dyDescent="0.25">
      <c r="B12" s="6" t="s">
        <v>2</v>
      </c>
      <c r="C12" s="6" t="s">
        <v>272</v>
      </c>
      <c r="D12" s="6">
        <v>46</v>
      </c>
      <c r="E12" s="33">
        <f t="shared" si="0"/>
        <v>74.026420000000002</v>
      </c>
      <c r="F12" s="33">
        <v>2016</v>
      </c>
      <c r="G12" s="19" t="s">
        <v>288</v>
      </c>
    </row>
    <row r="13" spans="2:8" s="12" customFormat="1" x14ac:dyDescent="0.25">
      <c r="B13" s="6" t="s">
        <v>2</v>
      </c>
      <c r="C13" s="7" t="s">
        <v>143</v>
      </c>
      <c r="D13" s="34">
        <f>D12+D11</f>
        <v>277.07</v>
      </c>
      <c r="E13" s="34">
        <f>E12+E11</f>
        <v>445.88043889999994</v>
      </c>
      <c r="F13" s="33"/>
      <c r="G13" s="19"/>
    </row>
    <row r="14" spans="2:8" s="12" customFormat="1" x14ac:dyDescent="0.25">
      <c r="B14" s="6" t="s">
        <v>2</v>
      </c>
      <c r="C14" s="6" t="s">
        <v>289</v>
      </c>
      <c r="D14" s="33">
        <v>37.89</v>
      </c>
      <c r="E14" s="33">
        <f t="shared" si="0"/>
        <v>60.975240300000003</v>
      </c>
      <c r="F14" s="33">
        <v>2016</v>
      </c>
      <c r="G14" s="19">
        <v>52</v>
      </c>
    </row>
    <row r="15" spans="2:8" s="12" customFormat="1" x14ac:dyDescent="0.25">
      <c r="B15" s="6" t="s">
        <v>2</v>
      </c>
      <c r="C15" s="6" t="s">
        <v>290</v>
      </c>
      <c r="D15" s="33">
        <v>84.85</v>
      </c>
      <c r="E15" s="33">
        <f t="shared" si="0"/>
        <v>136.5465595</v>
      </c>
      <c r="F15" s="33">
        <v>2016</v>
      </c>
      <c r="G15" s="19">
        <v>52</v>
      </c>
    </row>
    <row r="16" spans="2:8" s="12" customFormat="1" x14ac:dyDescent="0.25">
      <c r="B16" s="6" t="s">
        <v>2</v>
      </c>
      <c r="C16" s="7" t="s">
        <v>144</v>
      </c>
      <c r="D16" s="34">
        <f>D15+D14</f>
        <v>122.74</v>
      </c>
      <c r="E16" s="34">
        <f t="shared" si="0"/>
        <v>197.5217998</v>
      </c>
      <c r="F16" s="34"/>
      <c r="G16" s="19"/>
    </row>
    <row r="17" spans="2:7" s="12" customFormat="1" x14ac:dyDescent="0.25">
      <c r="B17" s="6" t="s">
        <v>2</v>
      </c>
      <c r="C17" s="7" t="s">
        <v>74</v>
      </c>
      <c r="D17" s="34">
        <f>D16+D13+SUM(D7:D10)</f>
        <v>422.26</v>
      </c>
      <c r="E17" s="34">
        <f t="shared" si="0"/>
        <v>679.53035019999993</v>
      </c>
      <c r="F17" s="34"/>
      <c r="G17" s="19"/>
    </row>
    <row r="18" spans="2:7" s="12" customFormat="1" x14ac:dyDescent="0.25">
      <c r="B18" s="6" t="s">
        <v>2</v>
      </c>
      <c r="C18" s="7" t="s">
        <v>75</v>
      </c>
      <c r="D18" s="34">
        <f>D17+D6</f>
        <v>459.26</v>
      </c>
      <c r="E18" s="34">
        <f>E17+E6</f>
        <v>739.07334019999996</v>
      </c>
      <c r="F18" s="34"/>
      <c r="G18" s="19"/>
    </row>
    <row r="19" spans="2:7" s="12" customFormat="1" x14ac:dyDescent="0.25">
      <c r="B19" s="6"/>
      <c r="C19" s="7"/>
      <c r="D19" s="7"/>
      <c r="E19" s="7"/>
      <c r="F19" s="7"/>
      <c r="G19" s="19"/>
    </row>
    <row r="20" spans="2:7" s="12" customFormat="1" x14ac:dyDescent="0.25">
      <c r="B20" s="13"/>
      <c r="C20" s="13"/>
      <c r="D20" s="13"/>
      <c r="E20" s="13"/>
      <c r="F20" s="13"/>
      <c r="G20" s="20"/>
    </row>
    <row r="21" spans="2:7" ht="13.95" customHeight="1" x14ac:dyDescent="0.25">
      <c r="B21" s="14"/>
      <c r="C21" s="14"/>
      <c r="D21" s="14"/>
      <c r="E21" s="14"/>
      <c r="F21" s="14"/>
      <c r="G21" s="21"/>
    </row>
    <row r="22" spans="2:7" x14ac:dyDescent="0.25">
      <c r="B22" s="14" t="s">
        <v>4</v>
      </c>
      <c r="C22" s="14" t="s">
        <v>38</v>
      </c>
      <c r="D22" s="14">
        <v>597</v>
      </c>
      <c r="E22" s="35">
        <f t="shared" ref="E22:E28" si="1">D22*1.60927</f>
        <v>960.73419000000001</v>
      </c>
      <c r="F22" s="35">
        <v>2016</v>
      </c>
      <c r="G22" s="21">
        <v>51</v>
      </c>
    </row>
    <row r="23" spans="2:7" x14ac:dyDescent="0.25">
      <c r="B23" s="14" t="s">
        <v>4</v>
      </c>
      <c r="C23" s="14" t="s">
        <v>36</v>
      </c>
      <c r="D23" s="14">
        <v>14</v>
      </c>
      <c r="E23" s="35">
        <f t="shared" si="1"/>
        <v>22.529779999999999</v>
      </c>
      <c r="F23" s="35">
        <v>2012</v>
      </c>
      <c r="G23" s="21">
        <v>19</v>
      </c>
    </row>
    <row r="24" spans="2:7" x14ac:dyDescent="0.25">
      <c r="B24" s="14" t="s">
        <v>4</v>
      </c>
      <c r="C24" s="15" t="s">
        <v>18</v>
      </c>
      <c r="D24" s="15">
        <f>D23+D22</f>
        <v>611</v>
      </c>
      <c r="E24" s="36">
        <f t="shared" si="1"/>
        <v>983.26396999999997</v>
      </c>
      <c r="F24" s="36"/>
      <c r="G24" s="21"/>
    </row>
    <row r="25" spans="2:7" x14ac:dyDescent="0.25">
      <c r="B25" s="14" t="s">
        <v>4</v>
      </c>
      <c r="C25" s="14" t="s">
        <v>66</v>
      </c>
      <c r="D25" s="14">
        <v>30</v>
      </c>
      <c r="E25" s="35">
        <f t="shared" si="1"/>
        <v>48.278100000000002</v>
      </c>
      <c r="F25" s="35">
        <v>2010</v>
      </c>
      <c r="G25" s="21">
        <v>18</v>
      </c>
    </row>
    <row r="26" spans="2:7" ht="15" customHeight="1" x14ac:dyDescent="0.25">
      <c r="B26" s="14" t="s">
        <v>4</v>
      </c>
      <c r="C26" s="14" t="s">
        <v>65</v>
      </c>
      <c r="D26" s="14">
        <v>19</v>
      </c>
      <c r="E26" s="35">
        <f t="shared" si="1"/>
        <v>30.576129999999999</v>
      </c>
      <c r="F26" s="35">
        <v>2016</v>
      </c>
      <c r="G26" s="21">
        <v>16</v>
      </c>
    </row>
    <row r="27" spans="2:7" x14ac:dyDescent="0.25">
      <c r="B27" s="14" t="s">
        <v>4</v>
      </c>
      <c r="C27" s="15" t="s">
        <v>33</v>
      </c>
      <c r="D27" s="15">
        <f>D26+D25</f>
        <v>49</v>
      </c>
      <c r="E27" s="36">
        <f t="shared" si="1"/>
        <v>78.854230000000001</v>
      </c>
      <c r="F27" s="36"/>
      <c r="G27" s="21"/>
    </row>
    <row r="28" spans="2:7" x14ac:dyDescent="0.25">
      <c r="B28" s="14" t="s">
        <v>4</v>
      </c>
      <c r="C28" s="15" t="s">
        <v>76</v>
      </c>
      <c r="D28" s="15">
        <f>D27+D24</f>
        <v>660</v>
      </c>
      <c r="E28" s="36">
        <f t="shared" si="1"/>
        <v>1062.1181999999999</v>
      </c>
      <c r="F28" s="36"/>
      <c r="G28" s="21"/>
    </row>
    <row r="29" spans="2:7" x14ac:dyDescent="0.25">
      <c r="B29" s="15"/>
      <c r="C29" s="15"/>
      <c r="D29" s="15"/>
      <c r="E29" s="15"/>
      <c r="F29" s="15"/>
      <c r="G29" s="21"/>
    </row>
    <row r="31" spans="2:7" x14ac:dyDescent="0.25">
      <c r="B31" s="8"/>
      <c r="C31" s="8"/>
      <c r="D31" s="8"/>
      <c r="E31" s="8"/>
      <c r="F31" s="8"/>
      <c r="G31" s="22"/>
    </row>
    <row r="32" spans="2:7" x14ac:dyDescent="0.25">
      <c r="B32" s="8" t="s">
        <v>5</v>
      </c>
      <c r="C32" s="8" t="s">
        <v>58</v>
      </c>
      <c r="D32" s="10">
        <v>60</v>
      </c>
      <c r="E32" s="10">
        <f t="shared" ref="E32:E42" si="2">D32*1.60927</f>
        <v>96.556200000000004</v>
      </c>
      <c r="F32" s="10">
        <v>2013</v>
      </c>
      <c r="G32" s="22">
        <v>25</v>
      </c>
    </row>
    <row r="33" spans="2:7" x14ac:dyDescent="0.25">
      <c r="B33" s="8" t="s">
        <v>5</v>
      </c>
      <c r="C33" s="8" t="s">
        <v>93</v>
      </c>
      <c r="D33" s="10">
        <v>15</v>
      </c>
      <c r="E33" s="10">
        <f t="shared" si="2"/>
        <v>24.139050000000001</v>
      </c>
      <c r="F33" s="10">
        <v>2013</v>
      </c>
      <c r="G33" s="22">
        <v>25</v>
      </c>
    </row>
    <row r="34" spans="2:7" x14ac:dyDescent="0.25">
      <c r="B34" s="8" t="s">
        <v>5</v>
      </c>
      <c r="C34" s="8" t="s">
        <v>94</v>
      </c>
      <c r="D34" s="10">
        <v>25</v>
      </c>
      <c r="E34" s="10">
        <f t="shared" si="2"/>
        <v>40.231749999999998</v>
      </c>
      <c r="F34" s="10">
        <v>2013</v>
      </c>
      <c r="G34" s="22">
        <v>25</v>
      </c>
    </row>
    <row r="35" spans="2:7" x14ac:dyDescent="0.25">
      <c r="B35" s="8" t="s">
        <v>5</v>
      </c>
      <c r="C35" s="8" t="s">
        <v>95</v>
      </c>
      <c r="D35" s="10">
        <v>75</v>
      </c>
      <c r="E35" s="10">
        <f t="shared" si="2"/>
        <v>120.69525</v>
      </c>
      <c r="F35" s="10">
        <v>2013</v>
      </c>
      <c r="G35" s="22">
        <v>25</v>
      </c>
    </row>
    <row r="36" spans="2:7" x14ac:dyDescent="0.25">
      <c r="B36" s="8" t="s">
        <v>5</v>
      </c>
      <c r="C36" s="8" t="s">
        <v>96</v>
      </c>
      <c r="D36" s="10">
        <v>35</v>
      </c>
      <c r="E36" s="10">
        <f t="shared" si="2"/>
        <v>56.324449999999999</v>
      </c>
      <c r="F36" s="10">
        <v>2013</v>
      </c>
      <c r="G36" s="22">
        <v>25</v>
      </c>
    </row>
    <row r="37" spans="2:7" x14ac:dyDescent="0.25">
      <c r="B37" s="8" t="s">
        <v>5</v>
      </c>
      <c r="C37" s="8" t="s">
        <v>97</v>
      </c>
      <c r="D37" s="10">
        <v>85</v>
      </c>
      <c r="E37" s="10">
        <f t="shared" si="2"/>
        <v>136.78795</v>
      </c>
      <c r="F37" s="10">
        <v>2012</v>
      </c>
      <c r="G37" s="22" t="s">
        <v>88</v>
      </c>
    </row>
    <row r="38" spans="2:7" x14ac:dyDescent="0.25">
      <c r="B38" s="8" t="s">
        <v>5</v>
      </c>
      <c r="C38" s="8" t="s">
        <v>294</v>
      </c>
      <c r="D38" s="10">
        <f>SUM(D32:D37)</f>
        <v>295</v>
      </c>
      <c r="E38" s="10">
        <f t="shared" si="2"/>
        <v>474.73464999999999</v>
      </c>
      <c r="F38" s="11"/>
      <c r="G38" s="22"/>
    </row>
    <row r="39" spans="2:7" x14ac:dyDescent="0.25">
      <c r="B39" s="8" t="s">
        <v>273</v>
      </c>
      <c r="C39" s="9" t="s">
        <v>143</v>
      </c>
      <c r="D39" s="11">
        <f>'Texas RRC Data'!E8</f>
        <v>319.89999999999998</v>
      </c>
      <c r="E39" s="10">
        <f t="shared" si="2"/>
        <v>514.80547300000001</v>
      </c>
      <c r="F39" s="10">
        <v>2014</v>
      </c>
      <c r="G39" s="22" t="s">
        <v>296</v>
      </c>
    </row>
    <row r="40" spans="2:7" x14ac:dyDescent="0.25">
      <c r="B40" s="8" t="s">
        <v>274</v>
      </c>
      <c r="C40" s="9" t="s">
        <v>144</v>
      </c>
      <c r="D40" s="11">
        <f>'Louisiana State Data'!B8</f>
        <v>1.28</v>
      </c>
      <c r="E40" s="10">
        <f t="shared" si="2"/>
        <v>2.0598656000000002</v>
      </c>
      <c r="F40" s="10">
        <v>2016</v>
      </c>
      <c r="G40" s="22">
        <v>53</v>
      </c>
    </row>
    <row r="41" spans="2:7" x14ac:dyDescent="0.25">
      <c r="B41" s="8" t="s">
        <v>295</v>
      </c>
      <c r="C41" s="8" t="s">
        <v>18</v>
      </c>
      <c r="D41" s="10">
        <f>D40+D39</f>
        <v>321.17999999999995</v>
      </c>
      <c r="E41" s="10">
        <f t="shared" si="2"/>
        <v>516.86533859999986</v>
      </c>
      <c r="F41" s="10">
        <v>2016</v>
      </c>
      <c r="G41" s="22"/>
    </row>
    <row r="42" spans="2:7" x14ac:dyDescent="0.25">
      <c r="B42" s="8" t="s">
        <v>291</v>
      </c>
      <c r="C42" s="8" t="s">
        <v>18</v>
      </c>
      <c r="D42" s="10">
        <v>328.4</v>
      </c>
      <c r="E42" s="10">
        <f t="shared" si="2"/>
        <v>528.48426799999993</v>
      </c>
      <c r="F42" s="11"/>
      <c r="G42" s="22"/>
    </row>
    <row r="43" spans="2:7" x14ac:dyDescent="0.25">
      <c r="B43" s="8" t="s">
        <v>292</v>
      </c>
      <c r="C43" s="9" t="s">
        <v>18</v>
      </c>
      <c r="D43" s="11">
        <f>E43/1.60927</f>
        <v>338.66287198543438</v>
      </c>
      <c r="E43" s="11">
        <v>545</v>
      </c>
      <c r="F43" s="10">
        <v>2013</v>
      </c>
      <c r="G43" s="22">
        <v>37</v>
      </c>
    </row>
    <row r="44" spans="2:7" x14ac:dyDescent="0.25">
      <c r="B44" s="8"/>
      <c r="C44" s="8"/>
      <c r="D44" s="8"/>
      <c r="E44" s="8"/>
      <c r="F44" s="8"/>
      <c r="G44" s="8"/>
    </row>
    <row r="46" spans="2:7" x14ac:dyDescent="0.25">
      <c r="B46" s="30"/>
      <c r="C46" s="30"/>
      <c r="D46" s="30"/>
      <c r="E46" s="30"/>
      <c r="F46" s="30"/>
      <c r="G46" s="31"/>
    </row>
    <row r="47" spans="2:7" x14ac:dyDescent="0.25">
      <c r="B47" s="30" t="s">
        <v>37</v>
      </c>
      <c r="C47" s="30" t="s">
        <v>101</v>
      </c>
      <c r="D47" s="30">
        <v>5</v>
      </c>
      <c r="E47" s="37">
        <f>D47*1.60927</f>
        <v>8.0463500000000003</v>
      </c>
      <c r="F47" s="37"/>
      <c r="G47" s="31">
        <v>34</v>
      </c>
    </row>
    <row r="48" spans="2:7" x14ac:dyDescent="0.25">
      <c r="B48" s="30" t="s">
        <v>37</v>
      </c>
      <c r="C48" s="30" t="s">
        <v>129</v>
      </c>
      <c r="D48" s="30">
        <v>14</v>
      </c>
      <c r="E48" s="37">
        <f>D48*1.60927</f>
        <v>22.529779999999999</v>
      </c>
      <c r="F48" s="37"/>
      <c r="G48" s="31">
        <v>6</v>
      </c>
    </row>
    <row r="49" spans="2:7" x14ac:dyDescent="0.25">
      <c r="B49" s="30" t="s">
        <v>37</v>
      </c>
      <c r="C49" s="30" t="s">
        <v>100</v>
      </c>
      <c r="D49" s="30">
        <v>9</v>
      </c>
      <c r="E49" s="37">
        <f>D49*1.60927</f>
        <v>14.48343</v>
      </c>
      <c r="F49" s="37"/>
      <c r="G49" s="31">
        <v>26</v>
      </c>
    </row>
    <row r="50" spans="2:7" x14ac:dyDescent="0.25">
      <c r="B50" s="30" t="s">
        <v>218</v>
      </c>
      <c r="C50" s="30"/>
      <c r="D50" s="37">
        <f>'US PHMSA Owner Data'!C15</f>
        <v>32.54</v>
      </c>
      <c r="E50" s="37">
        <f>D50*1.60927</f>
        <v>52.365645799999996</v>
      </c>
      <c r="F50" s="37"/>
      <c r="G50" s="31"/>
    </row>
    <row r="51" spans="2:7" x14ac:dyDescent="0.25">
      <c r="B51" s="30" t="s">
        <v>37</v>
      </c>
      <c r="C51" s="32" t="s">
        <v>18</v>
      </c>
      <c r="D51" s="38">
        <f>D50</f>
        <v>32.54</v>
      </c>
      <c r="E51" s="38">
        <f>D51*1.60927</f>
        <v>52.365645799999996</v>
      </c>
      <c r="F51" s="38"/>
      <c r="G51" s="31"/>
    </row>
    <row r="52" spans="2:7" x14ac:dyDescent="0.25">
      <c r="B52" s="30"/>
      <c r="C52" s="30"/>
      <c r="D52" s="30"/>
      <c r="E52" s="30"/>
      <c r="F52" s="30"/>
      <c r="G52" s="31"/>
    </row>
    <row r="53" spans="2:7" ht="18" customHeight="1" x14ac:dyDescent="0.25"/>
    <row r="54" spans="2:7" x14ac:dyDescent="0.25">
      <c r="B54" s="3" t="s">
        <v>31</v>
      </c>
      <c r="C54" s="3" t="s">
        <v>133</v>
      </c>
      <c r="D54" s="27">
        <f>E54/1.60927</f>
        <v>5.4061779564647319</v>
      </c>
      <c r="E54" s="27">
        <v>8.6999999999999993</v>
      </c>
      <c r="F54" s="27">
        <v>2000</v>
      </c>
      <c r="G54" s="23">
        <v>35</v>
      </c>
    </row>
    <row r="55" spans="2:7" ht="15" customHeight="1" x14ac:dyDescent="0.25">
      <c r="B55" s="12" t="s">
        <v>216</v>
      </c>
      <c r="D55" s="27">
        <f>SUM(D56:D60)</f>
        <v>216.18399999999997</v>
      </c>
      <c r="E55" s="27">
        <f t="shared" ref="E55:E60" si="3">D55*1.60927</f>
        <v>347.89842567999995</v>
      </c>
      <c r="F55" s="28">
        <v>2016</v>
      </c>
      <c r="G55" s="23" t="s">
        <v>252</v>
      </c>
    </row>
    <row r="56" spans="2:7" ht="15" customHeight="1" x14ac:dyDescent="0.25">
      <c r="B56" s="12" t="s">
        <v>229</v>
      </c>
      <c r="D56" s="27">
        <f>'US PHMSA Owner Data'!C7</f>
        <v>45.762</v>
      </c>
      <c r="E56" s="27">
        <f t="shared" si="3"/>
        <v>73.64341374</v>
      </c>
      <c r="F56" s="28">
        <v>2016</v>
      </c>
      <c r="G56" s="23" t="s">
        <v>252</v>
      </c>
    </row>
    <row r="57" spans="2:7" ht="15" customHeight="1" x14ac:dyDescent="0.25">
      <c r="B57" s="12" t="s">
        <v>230</v>
      </c>
      <c r="D57" s="27">
        <f>'US PHMSA Owner Data'!E9</f>
        <v>23.02</v>
      </c>
      <c r="E57" s="27">
        <f t="shared" si="3"/>
        <v>37.045395399999997</v>
      </c>
      <c r="F57" s="28">
        <v>2016</v>
      </c>
      <c r="G57" s="23" t="s">
        <v>252</v>
      </c>
    </row>
    <row r="58" spans="2:7" ht="15" customHeight="1" x14ac:dyDescent="0.25">
      <c r="B58" s="12" t="s">
        <v>231</v>
      </c>
      <c r="D58" s="27">
        <f>'US PHMSA Owner Data'!E13</f>
        <v>24.79</v>
      </c>
      <c r="E58" s="27">
        <f t="shared" si="3"/>
        <v>39.893803299999995</v>
      </c>
      <c r="F58" s="28">
        <v>2016</v>
      </c>
      <c r="G58" s="23" t="s">
        <v>252</v>
      </c>
    </row>
    <row r="59" spans="2:7" ht="15" customHeight="1" x14ac:dyDescent="0.25">
      <c r="B59" s="12" t="s">
        <v>232</v>
      </c>
      <c r="D59" s="27">
        <f>'US PHMSA Owner Data'!E21</f>
        <v>43.3</v>
      </c>
      <c r="E59" s="27">
        <f t="shared" si="3"/>
        <v>69.681390999999991</v>
      </c>
      <c r="F59" s="28">
        <v>2016</v>
      </c>
      <c r="G59" s="23" t="s">
        <v>252</v>
      </c>
    </row>
    <row r="60" spans="2:7" ht="15" customHeight="1" x14ac:dyDescent="0.25">
      <c r="B60" s="12" t="s">
        <v>233</v>
      </c>
      <c r="D60" s="27">
        <f>'US PHMSA Owner Data'!E31-'US PHMSA Owner Data'!E29-'US &amp; Canada '!D56-'US &amp; Canada '!D57-'US &amp; Canada '!D58-'US &amp; Canada '!D59</f>
        <v>79.311999999999969</v>
      </c>
      <c r="E60" s="27">
        <f t="shared" si="3"/>
        <v>127.63442223999995</v>
      </c>
      <c r="F60" s="28">
        <v>2016</v>
      </c>
      <c r="G60" s="23" t="s">
        <v>252</v>
      </c>
    </row>
    <row r="61" spans="2:7" ht="15" customHeight="1" x14ac:dyDescent="0.25">
      <c r="B61" s="12"/>
      <c r="D61" s="27"/>
      <c r="E61" s="28"/>
      <c r="F61" s="28"/>
    </row>
    <row r="62" spans="2:7" x14ac:dyDescent="0.25">
      <c r="C62" s="2" t="s">
        <v>18</v>
      </c>
      <c r="D62" s="25">
        <f>D51+D43+D24+D17+D55</f>
        <v>1620.6468719854345</v>
      </c>
      <c r="E62" s="25">
        <f>D62*1.60927</f>
        <v>2608.0583916800001</v>
      </c>
      <c r="F62" s="25"/>
    </row>
    <row r="63" spans="2:7" x14ac:dyDescent="0.25">
      <c r="C63" s="2" t="s">
        <v>33</v>
      </c>
      <c r="D63" s="25">
        <f>D54+D27+D5</f>
        <v>91.406177956464731</v>
      </c>
      <c r="E63" s="25">
        <f>D63*1.60927</f>
        <v>147.09721999999999</v>
      </c>
      <c r="F63" s="25"/>
    </row>
  </sheetData>
  <mergeCells count="1">
    <mergeCell ref="B1:G1"/>
  </mergeCells>
  <phoneticPr fontId="2" type="noConversion"/>
  <printOptions gridLines="1"/>
  <pageMargins left="0.25" right="0.25" top="0.75" bottom="0.75" header="0.3" footer="0.3"/>
  <pageSetup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0"/>
  <sheetViews>
    <sheetView workbookViewId="0">
      <pane ySplit="2" topLeftCell="A3" activePane="bottomLeft" state="frozen"/>
      <selection pane="bottomLeft" activeCell="L20" sqref="L20"/>
    </sheetView>
  </sheetViews>
  <sheetFormatPr defaultRowHeight="13.2" x14ac:dyDescent="0.25"/>
  <cols>
    <col min="2" max="2" width="24.33203125" customWidth="1"/>
    <col min="3" max="3" width="18.6640625" customWidth="1"/>
    <col min="4" max="4" width="15.6640625" customWidth="1"/>
  </cols>
  <sheetData>
    <row r="1" spans="2:12" ht="15.6" x14ac:dyDescent="0.3">
      <c r="B1" s="149" t="s">
        <v>259</v>
      </c>
      <c r="C1" s="150"/>
      <c r="D1" s="150"/>
      <c r="E1" s="150"/>
      <c r="F1" s="150"/>
      <c r="G1" s="151"/>
    </row>
    <row r="2" spans="2:12" ht="13.8" thickBot="1" x14ac:dyDescent="0.3">
      <c r="B2" s="142" t="s">
        <v>1</v>
      </c>
      <c r="C2" s="143" t="s">
        <v>23</v>
      </c>
      <c r="D2" s="143" t="s">
        <v>119</v>
      </c>
      <c r="E2" s="85" t="s">
        <v>21</v>
      </c>
      <c r="F2" s="85" t="s">
        <v>19</v>
      </c>
      <c r="G2" s="144" t="s">
        <v>0</v>
      </c>
    </row>
    <row r="3" spans="2:12" x14ac:dyDescent="0.25">
      <c r="B3" s="106"/>
      <c r="C3" s="107"/>
      <c r="D3" s="107"/>
      <c r="E3" s="63"/>
      <c r="F3" s="63"/>
      <c r="G3" s="108"/>
    </row>
    <row r="4" spans="2:12" x14ac:dyDescent="0.25">
      <c r="B4" s="109" t="s">
        <v>5</v>
      </c>
      <c r="C4" s="88" t="s">
        <v>24</v>
      </c>
      <c r="D4" s="88"/>
      <c r="E4" s="110">
        <v>187</v>
      </c>
      <c r="F4" s="111">
        <f t="shared" ref="F4:F9" si="0">E4/1.60927</f>
        <v>116.2017560757362</v>
      </c>
      <c r="G4" s="112">
        <v>28</v>
      </c>
    </row>
    <row r="5" spans="2:12" x14ac:dyDescent="0.25">
      <c r="B5" s="109" t="s">
        <v>5</v>
      </c>
      <c r="C5" s="88" t="s">
        <v>25</v>
      </c>
      <c r="D5" s="88"/>
      <c r="E5" s="110">
        <v>613</v>
      </c>
      <c r="F5" s="111">
        <f t="shared" si="0"/>
        <v>380.91805601297483</v>
      </c>
      <c r="G5" s="112">
        <v>28</v>
      </c>
    </row>
    <row r="6" spans="2:12" x14ac:dyDescent="0.25">
      <c r="B6" s="109" t="s">
        <v>5</v>
      </c>
      <c r="C6" s="88" t="s">
        <v>26</v>
      </c>
      <c r="D6" s="88"/>
      <c r="E6" s="110">
        <v>303</v>
      </c>
      <c r="F6" s="111">
        <f t="shared" si="0"/>
        <v>188.28412882859931</v>
      </c>
      <c r="G6" s="112">
        <v>28</v>
      </c>
    </row>
    <row r="7" spans="2:12" x14ac:dyDescent="0.25">
      <c r="B7" s="109" t="s">
        <v>5</v>
      </c>
      <c r="C7" s="88" t="s">
        <v>7</v>
      </c>
      <c r="D7" s="88" t="s">
        <v>118</v>
      </c>
      <c r="E7" s="110">
        <v>240</v>
      </c>
      <c r="F7" s="111">
        <f t="shared" si="0"/>
        <v>149.13594362661331</v>
      </c>
      <c r="G7" s="112">
        <v>28</v>
      </c>
    </row>
    <row r="8" spans="2:12" x14ac:dyDescent="0.25">
      <c r="B8" s="109" t="s">
        <v>5</v>
      </c>
      <c r="C8" s="88" t="s">
        <v>27</v>
      </c>
      <c r="D8" s="88"/>
      <c r="E8" s="110">
        <v>2</v>
      </c>
      <c r="F8" s="111">
        <f t="shared" si="0"/>
        <v>1.2427995302217776</v>
      </c>
      <c r="G8" s="112">
        <v>28</v>
      </c>
    </row>
    <row r="9" spans="2:12" x14ac:dyDescent="0.25">
      <c r="B9" s="109" t="s">
        <v>5</v>
      </c>
      <c r="C9" s="88" t="s">
        <v>28</v>
      </c>
      <c r="D9" s="88"/>
      <c r="E9" s="110">
        <v>6</v>
      </c>
      <c r="F9" s="111">
        <f t="shared" si="0"/>
        <v>3.728398590665333</v>
      </c>
      <c r="G9" s="112">
        <v>28</v>
      </c>
    </row>
    <row r="10" spans="2:12" x14ac:dyDescent="0.25">
      <c r="B10" s="89" t="s">
        <v>124</v>
      </c>
      <c r="C10" s="88"/>
      <c r="D10" s="88"/>
      <c r="E10" s="90">
        <f>SUM(E4:E9)</f>
        <v>1351</v>
      </c>
      <c r="F10" s="91">
        <f>SUM(F4:F9)</f>
        <v>839.51108266481071</v>
      </c>
      <c r="G10" s="112"/>
    </row>
    <row r="11" spans="2:12" x14ac:dyDescent="0.25">
      <c r="B11" s="64"/>
      <c r="C11" s="103"/>
      <c r="D11" s="103"/>
      <c r="E11" s="65"/>
      <c r="F11" s="78"/>
      <c r="G11" s="66"/>
    </row>
    <row r="12" spans="2:12" x14ac:dyDescent="0.25">
      <c r="B12" s="113" t="s">
        <v>4</v>
      </c>
      <c r="C12" s="93" t="s">
        <v>24</v>
      </c>
      <c r="D12" s="93"/>
      <c r="E12" s="114">
        <v>50</v>
      </c>
      <c r="F12" s="70">
        <f>E12/1.60927</f>
        <v>31.069988255544441</v>
      </c>
      <c r="G12" s="115">
        <v>28</v>
      </c>
      <c r="L12" s="5"/>
    </row>
    <row r="13" spans="2:12" x14ac:dyDescent="0.25">
      <c r="B13" s="113" t="s">
        <v>4</v>
      </c>
      <c r="C13" s="93" t="s">
        <v>106</v>
      </c>
      <c r="D13" s="93"/>
      <c r="E13" s="114">
        <v>5</v>
      </c>
      <c r="F13" s="70">
        <f>E13/1.60927</f>
        <v>3.1069988255544438</v>
      </c>
      <c r="G13" s="115">
        <v>28</v>
      </c>
      <c r="L13" s="5"/>
    </row>
    <row r="14" spans="2:12" x14ac:dyDescent="0.25">
      <c r="B14" s="113" t="s">
        <v>4</v>
      </c>
      <c r="C14" s="93" t="s">
        <v>28</v>
      </c>
      <c r="D14" s="93"/>
      <c r="E14" s="114">
        <v>2</v>
      </c>
      <c r="F14" s="70">
        <f>E14/1.60927</f>
        <v>1.2427995302217776</v>
      </c>
      <c r="G14" s="115">
        <v>28</v>
      </c>
      <c r="L14" s="5"/>
    </row>
    <row r="15" spans="2:12" x14ac:dyDescent="0.25">
      <c r="B15" s="94" t="s">
        <v>125</v>
      </c>
      <c r="C15" s="114"/>
      <c r="D15" s="114"/>
      <c r="E15" s="95">
        <f>SUM(E12:E14)</f>
        <v>57</v>
      </c>
      <c r="F15" s="96">
        <f>SUM(F12:F14)</f>
        <v>35.419786611320667</v>
      </c>
      <c r="G15" s="115"/>
      <c r="L15" s="5"/>
    </row>
    <row r="16" spans="2:12" x14ac:dyDescent="0.25">
      <c r="B16" s="64"/>
      <c r="C16" s="65"/>
      <c r="D16" s="65"/>
      <c r="E16" s="65"/>
      <c r="F16" s="78"/>
      <c r="G16" s="66"/>
      <c r="L16" s="5"/>
    </row>
    <row r="17" spans="2:12" x14ac:dyDescent="0.25">
      <c r="B17" s="72" t="s">
        <v>37</v>
      </c>
      <c r="C17" s="97" t="s">
        <v>7</v>
      </c>
      <c r="D17" s="97" t="s">
        <v>163</v>
      </c>
      <c r="E17" s="99">
        <v>135</v>
      </c>
      <c r="F17" s="73">
        <f>E17/1.60927</f>
        <v>83.888968289969981</v>
      </c>
      <c r="G17" s="116">
        <v>28</v>
      </c>
      <c r="L17" s="5"/>
    </row>
    <row r="18" spans="2:12" x14ac:dyDescent="0.25">
      <c r="B18" s="72" t="s">
        <v>37</v>
      </c>
      <c r="C18" s="97" t="s">
        <v>106</v>
      </c>
      <c r="D18" s="97"/>
      <c r="E18" s="99">
        <v>35</v>
      </c>
      <c r="F18" s="73">
        <f>E18/1.60927</f>
        <v>21.748991778881109</v>
      </c>
      <c r="G18" s="116">
        <v>28</v>
      </c>
      <c r="L18" s="5"/>
    </row>
    <row r="19" spans="2:12" x14ac:dyDescent="0.25">
      <c r="B19" s="72" t="s">
        <v>37</v>
      </c>
      <c r="C19" s="97" t="s">
        <v>7</v>
      </c>
      <c r="D19" s="97" t="s">
        <v>111</v>
      </c>
      <c r="E19" s="73">
        <v>1.7</v>
      </c>
      <c r="F19" s="73">
        <f>E19/1.60927</f>
        <v>1.0563796006885109</v>
      </c>
      <c r="G19" s="116">
        <v>31</v>
      </c>
      <c r="L19" s="5"/>
    </row>
    <row r="20" spans="2:12" x14ac:dyDescent="0.25">
      <c r="B20" s="100" t="s">
        <v>126</v>
      </c>
      <c r="C20" s="97"/>
      <c r="D20" s="97"/>
      <c r="E20" s="101">
        <f>SUM(E17:E19)</f>
        <v>171.7</v>
      </c>
      <c r="F20" s="101">
        <f>SUM(F17:F19)</f>
        <v>106.6943396695396</v>
      </c>
      <c r="G20" s="116"/>
      <c r="L20" s="5"/>
    </row>
    <row r="21" spans="2:12" x14ac:dyDescent="0.25">
      <c r="B21" s="82"/>
      <c r="C21" s="103"/>
      <c r="D21" s="103"/>
      <c r="E21" s="65"/>
      <c r="F21" s="78"/>
      <c r="G21" s="66"/>
      <c r="L21" s="5"/>
    </row>
    <row r="22" spans="2:12" x14ac:dyDescent="0.25">
      <c r="B22" s="82" t="s">
        <v>104</v>
      </c>
      <c r="C22" s="103" t="s">
        <v>30</v>
      </c>
      <c r="D22" s="103"/>
      <c r="E22" s="65">
        <v>18</v>
      </c>
      <c r="F22" s="78">
        <f>E22/1.60927</f>
        <v>11.185195771995998</v>
      </c>
      <c r="G22" s="66">
        <v>28</v>
      </c>
      <c r="L22" s="5"/>
    </row>
    <row r="23" spans="2:12" x14ac:dyDescent="0.25">
      <c r="B23" s="82"/>
      <c r="C23" s="103"/>
      <c r="D23" s="103"/>
      <c r="E23" s="65"/>
      <c r="F23" s="78"/>
      <c r="G23" s="66"/>
      <c r="L23" s="5"/>
    </row>
    <row r="24" spans="2:12" x14ac:dyDescent="0.25">
      <c r="B24" s="62" t="s">
        <v>20</v>
      </c>
      <c r="C24" s="65"/>
      <c r="D24" s="65"/>
      <c r="E24" s="81">
        <f>E22+E20+E15+E10</f>
        <v>1597.7</v>
      </c>
      <c r="F24" s="81">
        <f>F22+F20+F15+F10</f>
        <v>992.81040471766698</v>
      </c>
      <c r="G24" s="66"/>
      <c r="L24" s="5"/>
    </row>
    <row r="25" spans="2:12" x14ac:dyDescent="0.25">
      <c r="B25" s="64"/>
      <c r="C25" s="65"/>
      <c r="D25" s="65"/>
      <c r="E25" s="65"/>
      <c r="F25" s="65"/>
      <c r="G25" s="66"/>
      <c r="L25" s="5"/>
    </row>
    <row r="26" spans="2:12" x14ac:dyDescent="0.25">
      <c r="B26" s="64"/>
      <c r="C26" s="87" t="s">
        <v>23</v>
      </c>
      <c r="D26" s="87"/>
      <c r="E26" s="65"/>
      <c r="F26" s="65"/>
      <c r="G26" s="66"/>
      <c r="L26" s="5"/>
    </row>
    <row r="27" spans="2:12" x14ac:dyDescent="0.25">
      <c r="B27" s="64"/>
      <c r="C27" s="65" t="s">
        <v>25</v>
      </c>
      <c r="D27" s="65"/>
      <c r="E27" s="65">
        <f>613</f>
        <v>613</v>
      </c>
      <c r="F27" s="78">
        <f t="shared" ref="F27:F35" si="1">E27/1.60927</f>
        <v>380.91805601297483</v>
      </c>
      <c r="G27" s="66">
        <v>28</v>
      </c>
      <c r="L27" s="5"/>
    </row>
    <row r="28" spans="2:12" x14ac:dyDescent="0.25">
      <c r="B28" s="64"/>
      <c r="C28" s="65" t="s">
        <v>26</v>
      </c>
      <c r="D28" s="65"/>
      <c r="E28" s="65">
        <v>303</v>
      </c>
      <c r="F28" s="78">
        <f t="shared" si="1"/>
        <v>188.28412882859931</v>
      </c>
      <c r="G28" s="66">
        <v>28</v>
      </c>
      <c r="L28" s="5"/>
    </row>
    <row r="29" spans="2:12" x14ac:dyDescent="0.25">
      <c r="B29" s="64"/>
      <c r="C29" s="65" t="s">
        <v>7</v>
      </c>
      <c r="D29" s="65"/>
      <c r="E29" s="117">
        <f>240+150</f>
        <v>390</v>
      </c>
      <c r="F29" s="118">
        <f t="shared" si="1"/>
        <v>242.34590839324662</v>
      </c>
      <c r="G29" s="119">
        <v>29</v>
      </c>
      <c r="L29" s="5"/>
    </row>
    <row r="30" spans="2:12" x14ac:dyDescent="0.25">
      <c r="B30" s="64"/>
      <c r="C30" s="65" t="s">
        <v>28</v>
      </c>
      <c r="D30" s="65"/>
      <c r="E30" s="65">
        <f>2+6</f>
        <v>8</v>
      </c>
      <c r="F30" s="78">
        <f t="shared" si="1"/>
        <v>4.9711981208871103</v>
      </c>
      <c r="G30" s="66">
        <v>28</v>
      </c>
      <c r="L30" s="5"/>
    </row>
    <row r="31" spans="2:12" x14ac:dyDescent="0.25">
      <c r="B31" s="64"/>
      <c r="C31" s="65" t="s">
        <v>24</v>
      </c>
      <c r="D31" s="65"/>
      <c r="E31" s="65">
        <f>187+50</f>
        <v>237</v>
      </c>
      <c r="F31" s="78">
        <f t="shared" si="1"/>
        <v>147.27174433128064</v>
      </c>
      <c r="G31" s="66">
        <v>28</v>
      </c>
      <c r="L31" s="5"/>
    </row>
    <row r="32" spans="2:12" x14ac:dyDescent="0.25">
      <c r="B32" s="64"/>
      <c r="C32" s="65" t="s">
        <v>30</v>
      </c>
      <c r="D32" s="65"/>
      <c r="E32" s="65">
        <v>18</v>
      </c>
      <c r="F32" s="78">
        <f t="shared" si="1"/>
        <v>11.185195771995998</v>
      </c>
      <c r="G32" s="66">
        <v>28</v>
      </c>
      <c r="L32" s="5"/>
    </row>
    <row r="33" spans="2:12" x14ac:dyDescent="0.25">
      <c r="B33" s="64"/>
      <c r="C33" s="65" t="s">
        <v>27</v>
      </c>
      <c r="D33" s="65"/>
      <c r="E33" s="65">
        <v>2</v>
      </c>
      <c r="F33" s="78">
        <f t="shared" si="1"/>
        <v>1.2427995302217776</v>
      </c>
      <c r="G33" s="66">
        <v>28</v>
      </c>
      <c r="L33" s="5"/>
    </row>
    <row r="34" spans="2:12" x14ac:dyDescent="0.25">
      <c r="B34" s="64"/>
      <c r="C34" s="65" t="s">
        <v>29</v>
      </c>
      <c r="D34" s="65"/>
      <c r="E34" s="65">
        <f>35+5</f>
        <v>40</v>
      </c>
      <c r="F34" s="78">
        <f t="shared" si="1"/>
        <v>24.855990604435551</v>
      </c>
      <c r="G34" s="66">
        <v>28</v>
      </c>
      <c r="L34" s="5"/>
    </row>
    <row r="35" spans="2:12" x14ac:dyDescent="0.25">
      <c r="B35" s="64"/>
      <c r="C35" s="65" t="s">
        <v>20</v>
      </c>
      <c r="D35" s="65"/>
      <c r="E35" s="87">
        <f>SUM(E27:E34)</f>
        <v>1611</v>
      </c>
      <c r="F35" s="81">
        <f t="shared" si="1"/>
        <v>1001.0750215936418</v>
      </c>
      <c r="G35" s="66"/>
      <c r="L35" s="5"/>
    </row>
    <row r="36" spans="2:12" x14ac:dyDescent="0.25">
      <c r="B36" s="64"/>
      <c r="C36" s="65"/>
      <c r="D36" s="65"/>
      <c r="E36" s="65"/>
      <c r="F36" s="65"/>
      <c r="G36" s="66"/>
      <c r="L36" s="5"/>
    </row>
    <row r="37" spans="2:12" x14ac:dyDescent="0.25">
      <c r="B37" s="64"/>
      <c r="C37" s="103" t="s">
        <v>7</v>
      </c>
      <c r="D37" s="103" t="s">
        <v>118</v>
      </c>
      <c r="E37" s="65">
        <v>240</v>
      </c>
      <c r="F37" s="78">
        <f>E37/1.60927</f>
        <v>149.13594362661331</v>
      </c>
      <c r="G37" s="119">
        <v>29</v>
      </c>
      <c r="L37" s="5"/>
    </row>
    <row r="38" spans="2:12" x14ac:dyDescent="0.25">
      <c r="B38" s="64"/>
      <c r="C38" s="103" t="s">
        <v>116</v>
      </c>
      <c r="D38" s="103" t="s">
        <v>117</v>
      </c>
      <c r="E38" s="65">
        <v>150</v>
      </c>
      <c r="F38" s="78">
        <f>E38/1.60927</f>
        <v>93.20996476663332</v>
      </c>
      <c r="G38" s="119">
        <v>29</v>
      </c>
      <c r="L38" s="5"/>
    </row>
    <row r="39" spans="2:12" ht="13.8" thickBot="1" x14ac:dyDescent="0.3">
      <c r="B39" s="120"/>
      <c r="C39" s="105"/>
      <c r="D39" s="105"/>
      <c r="E39" s="121">
        <f>E38+E37</f>
        <v>390</v>
      </c>
      <c r="F39" s="122">
        <f>E39/1.60927</f>
        <v>242.34590839324662</v>
      </c>
      <c r="G39" s="84"/>
      <c r="L39" s="5"/>
    </row>
    <row r="41" spans="2:12" x14ac:dyDescent="0.25">
      <c r="B41" s="3"/>
      <c r="C41" s="3"/>
      <c r="D41" s="3"/>
    </row>
    <row r="42" spans="2:12" x14ac:dyDescent="0.25">
      <c r="B42" s="3"/>
      <c r="C42" s="3"/>
      <c r="D42" s="3"/>
    </row>
    <row r="43" spans="2:12" x14ac:dyDescent="0.25">
      <c r="B43" s="12"/>
      <c r="C43" s="12"/>
      <c r="D43" s="12"/>
      <c r="E43" s="12"/>
      <c r="F43" s="28"/>
      <c r="G43" s="20"/>
    </row>
    <row r="44" spans="2:12" x14ac:dyDescent="0.25">
      <c r="B44" s="12"/>
      <c r="C44" s="12"/>
      <c r="D44" s="12"/>
      <c r="E44" s="12"/>
      <c r="F44" s="28"/>
      <c r="G44" s="5"/>
    </row>
    <row r="46" spans="2:12" x14ac:dyDescent="0.25">
      <c r="B46" s="3"/>
      <c r="C46" s="3"/>
      <c r="D46" s="3"/>
      <c r="E46" s="3"/>
      <c r="F46" s="1"/>
    </row>
    <row r="47" spans="2:12" x14ac:dyDescent="0.25">
      <c r="B47" s="3"/>
      <c r="C47" s="3"/>
      <c r="D47" s="3"/>
      <c r="E47" s="3"/>
    </row>
    <row r="48" spans="2:12" x14ac:dyDescent="0.25">
      <c r="B48" s="3"/>
      <c r="C48" s="3"/>
      <c r="D48" s="3"/>
      <c r="E48" s="3"/>
    </row>
    <row r="50" spans="2:4" x14ac:dyDescent="0.25">
      <c r="B50" s="3"/>
      <c r="C50" s="3"/>
      <c r="D50" s="3"/>
    </row>
  </sheetData>
  <mergeCells count="1">
    <mergeCell ref="B1:G1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"/>
  <sheetViews>
    <sheetView workbookViewId="0">
      <pane ySplit="2" topLeftCell="A6" activePane="bottomLeft" state="frozen"/>
      <selection pane="bottomLeft" activeCell="J16" sqref="J16"/>
    </sheetView>
  </sheetViews>
  <sheetFormatPr defaultRowHeight="13.2" x14ac:dyDescent="0.25"/>
  <cols>
    <col min="2" max="2" width="17" customWidth="1"/>
    <col min="3" max="4" width="15.44140625" customWidth="1"/>
    <col min="5" max="7" width="8.77734375" customWidth="1"/>
  </cols>
  <sheetData>
    <row r="1" spans="2:7" ht="15.6" x14ac:dyDescent="0.3">
      <c r="B1" s="149" t="s">
        <v>260</v>
      </c>
      <c r="C1" s="150"/>
      <c r="D1" s="150"/>
      <c r="E1" s="150"/>
      <c r="F1" s="150"/>
      <c r="G1" s="151"/>
    </row>
    <row r="2" spans="2:7" ht="13.8" thickBot="1" x14ac:dyDescent="0.3">
      <c r="B2" s="83" t="s">
        <v>1</v>
      </c>
      <c r="C2" s="123" t="s">
        <v>23</v>
      </c>
      <c r="D2" s="123" t="s">
        <v>119</v>
      </c>
      <c r="E2" s="85" t="s">
        <v>21</v>
      </c>
      <c r="F2" s="85" t="s">
        <v>17</v>
      </c>
      <c r="G2" s="86" t="s">
        <v>0</v>
      </c>
    </row>
    <row r="3" spans="2:7" x14ac:dyDescent="0.25">
      <c r="B3" s="64"/>
      <c r="C3" s="65"/>
      <c r="D3" s="65"/>
      <c r="E3" s="65"/>
      <c r="F3" s="65"/>
      <c r="G3" s="66"/>
    </row>
    <row r="4" spans="2:7" x14ac:dyDescent="0.25">
      <c r="B4" s="67" t="s">
        <v>5</v>
      </c>
      <c r="C4" s="88" t="s">
        <v>107</v>
      </c>
      <c r="D4" s="88" t="s">
        <v>141</v>
      </c>
      <c r="E4" s="124">
        <v>40</v>
      </c>
      <c r="F4" s="125">
        <f>E4*0.6214</f>
        <v>24.855999999999998</v>
      </c>
      <c r="G4" s="68">
        <v>37</v>
      </c>
    </row>
    <row r="5" spans="2:7" x14ac:dyDescent="0.25">
      <c r="B5" s="67" t="s">
        <v>5</v>
      </c>
      <c r="C5" s="88" t="s">
        <v>120</v>
      </c>
      <c r="D5" s="88" t="s">
        <v>150</v>
      </c>
      <c r="E5" s="124"/>
      <c r="F5" s="125"/>
      <c r="G5" s="68">
        <v>38</v>
      </c>
    </row>
    <row r="6" spans="2:7" x14ac:dyDescent="0.25">
      <c r="B6" s="67" t="s">
        <v>5</v>
      </c>
      <c r="C6" s="88" t="s">
        <v>120</v>
      </c>
      <c r="D6" s="88" t="s">
        <v>151</v>
      </c>
      <c r="E6" s="124"/>
      <c r="F6" s="125"/>
      <c r="G6" s="68">
        <v>38</v>
      </c>
    </row>
    <row r="7" spans="2:7" x14ac:dyDescent="0.25">
      <c r="B7" s="67" t="s">
        <v>5</v>
      </c>
      <c r="C7" s="88" t="s">
        <v>120</v>
      </c>
      <c r="D7" s="88" t="s">
        <v>156</v>
      </c>
      <c r="E7" s="124"/>
      <c r="F7" s="125"/>
      <c r="G7" s="68">
        <v>39</v>
      </c>
    </row>
    <row r="8" spans="2:7" x14ac:dyDescent="0.25">
      <c r="B8" s="67" t="s">
        <v>5</v>
      </c>
      <c r="C8" s="88" t="s">
        <v>147</v>
      </c>
      <c r="D8" s="88" t="s">
        <v>155</v>
      </c>
      <c r="E8" s="124"/>
      <c r="F8" s="125"/>
      <c r="G8" s="68">
        <v>38</v>
      </c>
    </row>
    <row r="9" spans="2:7" x14ac:dyDescent="0.25">
      <c r="B9" s="67" t="s">
        <v>5</v>
      </c>
      <c r="C9" s="88" t="s">
        <v>140</v>
      </c>
      <c r="D9" s="88" t="s">
        <v>154</v>
      </c>
      <c r="E9" s="124"/>
      <c r="F9" s="125"/>
      <c r="G9" s="68">
        <v>38</v>
      </c>
    </row>
    <row r="10" spans="2:7" x14ac:dyDescent="0.25">
      <c r="B10" s="89" t="s">
        <v>124</v>
      </c>
      <c r="C10" s="88"/>
      <c r="D10" s="88"/>
      <c r="E10" s="126">
        <f>SUM(E4:E9)</f>
        <v>40</v>
      </c>
      <c r="F10" s="127">
        <f>SUM(F4:F9)</f>
        <v>24.855999999999998</v>
      </c>
      <c r="G10" s="68"/>
    </row>
    <row r="11" spans="2:7" x14ac:dyDescent="0.25">
      <c r="B11" s="77"/>
      <c r="C11" s="92"/>
      <c r="D11" s="92"/>
      <c r="E11" s="128"/>
      <c r="F11" s="129"/>
      <c r="G11" s="79"/>
    </row>
    <row r="12" spans="2:7" x14ac:dyDescent="0.25">
      <c r="B12" s="69" t="s">
        <v>4</v>
      </c>
      <c r="C12" s="93" t="s">
        <v>138</v>
      </c>
      <c r="D12" s="93" t="s">
        <v>139</v>
      </c>
      <c r="E12" s="130">
        <v>8</v>
      </c>
      <c r="F12" s="131">
        <f>E12*0.6214</f>
        <v>4.9711999999999996</v>
      </c>
      <c r="G12" s="71">
        <v>36</v>
      </c>
    </row>
    <row r="13" spans="2:7" x14ac:dyDescent="0.25">
      <c r="B13" s="69" t="s">
        <v>4</v>
      </c>
      <c r="C13" s="93" t="s">
        <v>140</v>
      </c>
      <c r="D13" s="93" t="s">
        <v>154</v>
      </c>
      <c r="E13" s="130">
        <v>13</v>
      </c>
      <c r="F13" s="131">
        <f>E13*0.6214</f>
        <v>8.0781999999999989</v>
      </c>
      <c r="G13" s="71">
        <v>36</v>
      </c>
    </row>
    <row r="14" spans="2:7" x14ac:dyDescent="0.25">
      <c r="B14" s="69" t="s">
        <v>4</v>
      </c>
      <c r="C14" s="93" t="s">
        <v>107</v>
      </c>
      <c r="D14" s="93" t="s">
        <v>141</v>
      </c>
      <c r="E14" s="130"/>
      <c r="F14" s="131"/>
      <c r="G14" s="71"/>
    </row>
    <row r="15" spans="2:7" x14ac:dyDescent="0.25">
      <c r="B15" s="94" t="s">
        <v>125</v>
      </c>
      <c r="C15" s="93"/>
      <c r="D15" s="93"/>
      <c r="E15" s="132">
        <f>+SUM(E12:E14)</f>
        <v>21</v>
      </c>
      <c r="F15" s="133">
        <f>+SUM(F12:F14)</f>
        <v>13.049399999999999</v>
      </c>
      <c r="G15" s="71"/>
    </row>
    <row r="16" spans="2:7" x14ac:dyDescent="0.25">
      <c r="B16" s="64"/>
      <c r="C16" s="65"/>
      <c r="D16" s="65"/>
      <c r="E16" s="134"/>
      <c r="F16" s="129"/>
      <c r="G16" s="66"/>
    </row>
    <row r="17" spans="2:7" x14ac:dyDescent="0.25">
      <c r="B17" s="72" t="s">
        <v>166</v>
      </c>
      <c r="C17" s="97" t="s">
        <v>167</v>
      </c>
      <c r="D17" s="97" t="s">
        <v>262</v>
      </c>
      <c r="E17" s="135">
        <v>6.7</v>
      </c>
      <c r="F17" s="136">
        <f>E17*0.6214</f>
        <v>4.1633800000000001</v>
      </c>
      <c r="G17" s="98">
        <v>43</v>
      </c>
    </row>
    <row r="18" spans="2:7" x14ac:dyDescent="0.25">
      <c r="B18" s="72" t="s">
        <v>166</v>
      </c>
      <c r="C18" s="97" t="s">
        <v>167</v>
      </c>
      <c r="D18" s="97" t="s">
        <v>263</v>
      </c>
      <c r="E18" s="135">
        <v>1.2</v>
      </c>
      <c r="F18" s="136">
        <f>E18*0.6214</f>
        <v>0.7456799999999999</v>
      </c>
      <c r="G18" s="98">
        <v>43</v>
      </c>
    </row>
    <row r="19" spans="2:7" x14ac:dyDescent="0.25">
      <c r="B19" s="72" t="s">
        <v>166</v>
      </c>
      <c r="C19" s="97" t="s">
        <v>176</v>
      </c>
      <c r="D19" s="99" t="s">
        <v>177</v>
      </c>
      <c r="E19" s="135">
        <v>5.2</v>
      </c>
      <c r="F19" s="136">
        <f>E19*0.6214</f>
        <v>3.2312799999999999</v>
      </c>
      <c r="G19" s="98">
        <v>45</v>
      </c>
    </row>
    <row r="20" spans="2:7" x14ac:dyDescent="0.25">
      <c r="B20" s="72" t="s">
        <v>37</v>
      </c>
      <c r="C20" s="97" t="s">
        <v>108</v>
      </c>
      <c r="D20" s="97" t="s">
        <v>152</v>
      </c>
      <c r="E20" s="135">
        <v>2.8</v>
      </c>
      <c r="F20" s="136">
        <f>E20*0.6214</f>
        <v>1.7399199999999997</v>
      </c>
      <c r="G20" s="74">
        <v>30</v>
      </c>
    </row>
    <row r="21" spans="2:7" x14ac:dyDescent="0.25">
      <c r="B21" s="72" t="s">
        <v>37</v>
      </c>
      <c r="C21" s="97" t="s">
        <v>113</v>
      </c>
      <c r="D21" s="97" t="s">
        <v>153</v>
      </c>
      <c r="E21" s="135">
        <v>4.5</v>
      </c>
      <c r="F21" s="136">
        <f>E21*0.6214</f>
        <v>2.7962999999999996</v>
      </c>
      <c r="G21" s="74">
        <v>32</v>
      </c>
    </row>
    <row r="22" spans="2:7" x14ac:dyDescent="0.25">
      <c r="B22" s="72" t="s">
        <v>37</v>
      </c>
      <c r="C22" s="97" t="s">
        <v>120</v>
      </c>
      <c r="D22" s="97" t="s">
        <v>121</v>
      </c>
      <c r="E22" s="137"/>
      <c r="F22" s="137"/>
      <c r="G22" s="74">
        <v>33</v>
      </c>
    </row>
    <row r="23" spans="2:7" x14ac:dyDescent="0.25">
      <c r="B23" s="100" t="s">
        <v>126</v>
      </c>
      <c r="C23" s="99"/>
      <c r="D23" s="99"/>
      <c r="E23" s="138">
        <f>SUM(E17:E22)</f>
        <v>20.400000000000002</v>
      </c>
      <c r="F23" s="138">
        <f>SUM(F17:F22)</f>
        <v>12.676559999999998</v>
      </c>
      <c r="G23" s="74"/>
    </row>
    <row r="24" spans="2:7" x14ac:dyDescent="0.25">
      <c r="B24" s="62"/>
      <c r="C24" s="65"/>
      <c r="D24" s="65"/>
      <c r="E24" s="139"/>
      <c r="F24" s="139"/>
      <c r="G24" s="79"/>
    </row>
    <row r="25" spans="2:7" x14ac:dyDescent="0.25">
      <c r="B25" s="77" t="s">
        <v>162</v>
      </c>
      <c r="C25" s="102" t="s">
        <v>147</v>
      </c>
      <c r="D25" s="102" t="s">
        <v>160</v>
      </c>
      <c r="E25" s="134">
        <v>82</v>
      </c>
      <c r="F25" s="140">
        <f>E25*0.6214</f>
        <v>50.954799999999999</v>
      </c>
      <c r="G25" s="79">
        <v>40</v>
      </c>
    </row>
    <row r="26" spans="2:7" x14ac:dyDescent="0.25">
      <c r="B26" s="77" t="s">
        <v>169</v>
      </c>
      <c r="C26" s="102" t="s">
        <v>168</v>
      </c>
      <c r="D26" s="102" t="s">
        <v>170</v>
      </c>
      <c r="E26" s="140">
        <v>1.2</v>
      </c>
      <c r="F26" s="140">
        <f>E26*0.6214</f>
        <v>0.7456799999999999</v>
      </c>
      <c r="G26" s="79">
        <v>42</v>
      </c>
    </row>
    <row r="27" spans="2:7" x14ac:dyDescent="0.25">
      <c r="B27" s="64" t="s">
        <v>174</v>
      </c>
      <c r="C27" s="65" t="s">
        <v>120</v>
      </c>
      <c r="D27" s="103" t="s">
        <v>255</v>
      </c>
      <c r="E27" s="134">
        <v>25</v>
      </c>
      <c r="F27" s="140">
        <f>E27*0.6214</f>
        <v>15.534999999999998</v>
      </c>
      <c r="G27" s="104">
        <v>44</v>
      </c>
    </row>
    <row r="28" spans="2:7" x14ac:dyDescent="0.25">
      <c r="B28" s="82" t="s">
        <v>256</v>
      </c>
      <c r="C28" s="65"/>
      <c r="D28" s="65"/>
      <c r="E28" s="140">
        <f>E27+E26+E25</f>
        <v>108.2</v>
      </c>
      <c r="F28" s="140">
        <f>F27+F26+F25</f>
        <v>67.235479999999995</v>
      </c>
      <c r="G28" s="66"/>
    </row>
    <row r="29" spans="2:7" x14ac:dyDescent="0.25">
      <c r="B29" s="64"/>
      <c r="C29" s="65"/>
      <c r="D29" s="65"/>
      <c r="E29" s="134"/>
      <c r="F29" s="134"/>
      <c r="G29" s="66"/>
    </row>
    <row r="30" spans="2:7" ht="13.8" thickBot="1" x14ac:dyDescent="0.3">
      <c r="B30" s="83" t="s">
        <v>20</v>
      </c>
      <c r="C30" s="105"/>
      <c r="D30" s="105"/>
      <c r="E30" s="141">
        <f>E25+E23+E15+E10+E26+E27</f>
        <v>189.6</v>
      </c>
      <c r="F30" s="141">
        <f>F25+F23+F15+F4+F26+F27</f>
        <v>117.81743999999998</v>
      </c>
      <c r="G30" s="84"/>
    </row>
  </sheetData>
  <mergeCells count="1">
    <mergeCell ref="B1:G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I15" sqref="I15"/>
    </sheetView>
  </sheetViews>
  <sheetFormatPr defaultRowHeight="13.2" x14ac:dyDescent="0.25"/>
  <cols>
    <col min="2" max="2" width="16.77734375" customWidth="1"/>
  </cols>
  <sheetData>
    <row r="1" spans="2:6" ht="30" customHeight="1" x14ac:dyDescent="0.25">
      <c r="B1" s="153" t="s">
        <v>84</v>
      </c>
      <c r="C1" s="153"/>
      <c r="D1" s="153"/>
      <c r="E1" s="153"/>
    </row>
    <row r="2" spans="2:6" ht="19.95" customHeight="1" x14ac:dyDescent="0.25">
      <c r="B2" s="154" t="s">
        <v>185</v>
      </c>
      <c r="C2" s="154"/>
      <c r="D2" s="154"/>
      <c r="E2" s="154"/>
    </row>
    <row r="3" spans="2:6" ht="30.6" customHeight="1" x14ac:dyDescent="0.3">
      <c r="B3" s="49" t="s">
        <v>180</v>
      </c>
      <c r="C3" s="50" t="s">
        <v>181</v>
      </c>
      <c r="D3" s="50" t="s">
        <v>182</v>
      </c>
      <c r="E3" s="51" t="s">
        <v>183</v>
      </c>
      <c r="F3" s="51" t="s">
        <v>261</v>
      </c>
    </row>
    <row r="4" spans="2:6" x14ac:dyDescent="0.25">
      <c r="B4" s="40" t="s">
        <v>186</v>
      </c>
      <c r="C4" s="41">
        <v>328.4</v>
      </c>
      <c r="D4" s="43"/>
      <c r="E4" s="44">
        <v>328.4</v>
      </c>
      <c r="F4" s="44">
        <f>'US &amp; Canada '!D43</f>
        <v>338.66287198543438</v>
      </c>
    </row>
    <row r="5" spans="2:6" x14ac:dyDescent="0.25">
      <c r="B5" s="40" t="s">
        <v>191</v>
      </c>
      <c r="C5" s="41">
        <v>77.2</v>
      </c>
      <c r="D5" s="41">
        <v>536.35</v>
      </c>
      <c r="E5" s="44">
        <v>613.54999999999995</v>
      </c>
      <c r="F5" s="48">
        <f>'US &amp; Canada '!D24</f>
        <v>611</v>
      </c>
    </row>
    <row r="6" spans="2:6" x14ac:dyDescent="0.25">
      <c r="B6" s="40" t="s">
        <v>187</v>
      </c>
      <c r="C6" s="41">
        <v>0.5</v>
      </c>
      <c r="D6" s="43"/>
      <c r="E6" s="44">
        <v>0.5</v>
      </c>
    </row>
    <row r="7" spans="2:6" x14ac:dyDescent="0.25">
      <c r="B7" s="40" t="s">
        <v>188</v>
      </c>
      <c r="C7" s="41">
        <v>45.762</v>
      </c>
      <c r="D7" s="43"/>
      <c r="E7" s="44">
        <v>45.762</v>
      </c>
    </row>
    <row r="8" spans="2:6" x14ac:dyDescent="0.25">
      <c r="B8" s="40" t="s">
        <v>189</v>
      </c>
      <c r="C8" s="41">
        <f>1.4+7.8</f>
        <v>9.1999999999999993</v>
      </c>
      <c r="D8" s="43"/>
      <c r="E8" s="44">
        <f>C8</f>
        <v>9.1999999999999993</v>
      </c>
    </row>
    <row r="9" spans="2:6" x14ac:dyDescent="0.25">
      <c r="B9" s="40" t="s">
        <v>190</v>
      </c>
      <c r="C9" s="41">
        <v>23.02</v>
      </c>
      <c r="D9" s="43"/>
      <c r="E9" s="44">
        <v>23.02</v>
      </c>
    </row>
    <row r="10" spans="2:6" x14ac:dyDescent="0.25">
      <c r="B10" s="40" t="s">
        <v>192</v>
      </c>
      <c r="C10" s="41">
        <v>0.42</v>
      </c>
      <c r="D10" s="43"/>
      <c r="E10" s="44">
        <v>0.42</v>
      </c>
    </row>
    <row r="11" spans="2:6" x14ac:dyDescent="0.25">
      <c r="B11" s="40" t="s">
        <v>193</v>
      </c>
      <c r="C11" s="41">
        <f>1.46+4.3</f>
        <v>5.76</v>
      </c>
      <c r="D11" s="43"/>
      <c r="E11" s="44">
        <f>1.46+4.3</f>
        <v>5.76</v>
      </c>
    </row>
    <row r="12" spans="2:6" x14ac:dyDescent="0.25">
      <c r="B12" s="40" t="s">
        <v>194</v>
      </c>
      <c r="C12" s="41">
        <v>1.9</v>
      </c>
      <c r="D12" s="43"/>
      <c r="E12" s="44">
        <v>1.9</v>
      </c>
    </row>
    <row r="13" spans="2:6" x14ac:dyDescent="0.25">
      <c r="B13" s="40" t="s">
        <v>195</v>
      </c>
      <c r="C13" s="41">
        <v>24.79</v>
      </c>
      <c r="D13" s="43"/>
      <c r="E13" s="44">
        <v>24.79</v>
      </c>
    </row>
    <row r="14" spans="2:6" x14ac:dyDescent="0.25">
      <c r="B14" s="40" t="s">
        <v>196</v>
      </c>
      <c r="C14" s="41">
        <v>5.8890000000000002</v>
      </c>
      <c r="D14" s="43"/>
      <c r="E14" s="44">
        <v>5.8890000000000002</v>
      </c>
    </row>
    <row r="15" spans="2:6" x14ac:dyDescent="0.25">
      <c r="B15" s="40" t="s">
        <v>197</v>
      </c>
      <c r="C15" s="41">
        <v>32.54</v>
      </c>
      <c r="D15" s="43"/>
      <c r="E15" s="44">
        <v>32.54</v>
      </c>
      <c r="F15" s="48">
        <f>'US &amp; Canada '!D47+'US &amp; Canada '!D48+'US &amp; Canada '!D49</f>
        <v>28</v>
      </c>
    </row>
    <row r="16" spans="2:6" x14ac:dyDescent="0.25">
      <c r="B16" s="40" t="s">
        <v>198</v>
      </c>
      <c r="C16" s="42">
        <v>0.02</v>
      </c>
      <c r="D16" s="43"/>
      <c r="E16" s="56">
        <v>0.02</v>
      </c>
    </row>
    <row r="17" spans="2:6" x14ac:dyDescent="0.25">
      <c r="B17" s="40" t="s">
        <v>199</v>
      </c>
      <c r="C17" s="41">
        <v>5.33</v>
      </c>
      <c r="D17" s="43"/>
      <c r="E17" s="44">
        <v>5.33</v>
      </c>
    </row>
    <row r="18" spans="2:6" x14ac:dyDescent="0.25">
      <c r="B18" s="40" t="s">
        <v>200</v>
      </c>
      <c r="C18" s="41">
        <v>3.11</v>
      </c>
      <c r="D18" s="43"/>
      <c r="E18" s="44">
        <v>3.11</v>
      </c>
    </row>
    <row r="19" spans="2:6" x14ac:dyDescent="0.25">
      <c r="B19" s="40" t="s">
        <v>201</v>
      </c>
      <c r="C19" s="41">
        <v>1.9</v>
      </c>
      <c r="D19" s="43"/>
      <c r="E19" s="44">
        <v>1.9</v>
      </c>
    </row>
    <row r="20" spans="2:6" x14ac:dyDescent="0.25">
      <c r="B20" s="40" t="s">
        <v>203</v>
      </c>
      <c r="C20" s="41">
        <v>6</v>
      </c>
      <c r="D20" s="43"/>
      <c r="E20" s="44">
        <v>6</v>
      </c>
    </row>
    <row r="21" spans="2:6" x14ac:dyDescent="0.25">
      <c r="B21" s="40" t="s">
        <v>202</v>
      </c>
      <c r="C21" s="41">
        <f>41.56+1.7</f>
        <v>43.260000000000005</v>
      </c>
      <c r="D21" s="43"/>
      <c r="E21" s="44">
        <v>43.3</v>
      </c>
    </row>
    <row r="22" spans="2:6" x14ac:dyDescent="0.25">
      <c r="B22" s="40" t="s">
        <v>204</v>
      </c>
      <c r="C22" s="41">
        <v>131.43</v>
      </c>
      <c r="D22" s="41">
        <v>244.81</v>
      </c>
      <c r="E22" s="44">
        <v>376.24</v>
      </c>
      <c r="F22" s="48">
        <f>'US &amp; Canada '!D17</f>
        <v>422.26</v>
      </c>
    </row>
    <row r="23" spans="2:6" x14ac:dyDescent="0.25">
      <c r="B23" s="40" t="s">
        <v>205</v>
      </c>
      <c r="C23" s="41">
        <v>1</v>
      </c>
      <c r="D23" s="43"/>
      <c r="E23" s="44">
        <v>1</v>
      </c>
    </row>
    <row r="24" spans="2:6" x14ac:dyDescent="0.25">
      <c r="B24" s="40" t="s">
        <v>206</v>
      </c>
      <c r="C24" s="41">
        <v>10.959</v>
      </c>
      <c r="D24" s="43"/>
      <c r="E24" s="44">
        <v>10.959</v>
      </c>
    </row>
    <row r="25" spans="2:6" x14ac:dyDescent="0.25">
      <c r="B25" s="40" t="s">
        <v>207</v>
      </c>
      <c r="C25" s="41">
        <v>0.92900000000000005</v>
      </c>
      <c r="D25" s="43"/>
      <c r="E25" s="44">
        <v>0.92900000000000005</v>
      </c>
    </row>
    <row r="26" spans="2:6" x14ac:dyDescent="0.25">
      <c r="B26" s="40" t="s">
        <v>184</v>
      </c>
      <c r="C26" s="41">
        <v>20.07</v>
      </c>
      <c r="D26" s="43"/>
      <c r="E26" s="44">
        <v>20.07</v>
      </c>
    </row>
    <row r="27" spans="2:6" x14ac:dyDescent="0.25">
      <c r="B27" s="40" t="s">
        <v>208</v>
      </c>
      <c r="C27" s="41">
        <f>1.54+3.59</f>
        <v>5.13</v>
      </c>
      <c r="D27" s="43"/>
      <c r="E27" s="44">
        <f>C27</f>
        <v>5.13</v>
      </c>
    </row>
    <row r="28" spans="2:6" x14ac:dyDescent="0.25">
      <c r="B28" s="45" t="s">
        <v>209</v>
      </c>
      <c r="C28" s="46">
        <v>1.1950000000000001</v>
      </c>
      <c r="D28" s="47"/>
      <c r="E28" s="48">
        <v>1.1950000000000001</v>
      </c>
    </row>
    <row r="29" spans="2:6" ht="36" x14ac:dyDescent="0.25">
      <c r="B29" s="57" t="s">
        <v>217</v>
      </c>
      <c r="C29" s="55">
        <f>C15+C22+C5+C4</f>
        <v>569.56999999999994</v>
      </c>
      <c r="D29" s="55">
        <f>D15+D22+D5+D4</f>
        <v>781.16000000000008</v>
      </c>
      <c r="E29" s="55">
        <f>E15+E22+E5+E4</f>
        <v>1350.73</v>
      </c>
    </row>
    <row r="30" spans="2:6" x14ac:dyDescent="0.25">
      <c r="B30" s="45" t="s">
        <v>212</v>
      </c>
      <c r="C30" s="55">
        <f>C31-C29</f>
        <v>216.14399999999989</v>
      </c>
      <c r="D30" s="55">
        <f>D31-D29</f>
        <v>0</v>
      </c>
      <c r="E30" s="55">
        <f>E31-E29</f>
        <v>216.18399999999997</v>
      </c>
    </row>
    <row r="31" spans="2:6" ht="13.8" x14ac:dyDescent="0.25">
      <c r="B31" s="53" t="s">
        <v>210</v>
      </c>
      <c r="C31" s="52">
        <f>SUM(C4:C28)</f>
        <v>785.71399999999983</v>
      </c>
      <c r="D31" s="52">
        <f>SUM(D4:D28)</f>
        <v>781.16000000000008</v>
      </c>
      <c r="E31" s="52">
        <f>SUM(E4:E28)</f>
        <v>1566.914</v>
      </c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G18" sqref="G18"/>
    </sheetView>
  </sheetViews>
  <sheetFormatPr defaultRowHeight="13.2" x14ac:dyDescent="0.25"/>
  <cols>
    <col min="2" max="2" width="18.5546875" customWidth="1"/>
    <col min="3" max="3" width="10.77734375" customWidth="1"/>
    <col min="10" max="10" width="13.109375" customWidth="1"/>
  </cols>
  <sheetData>
    <row r="1" spans="2:12" ht="45" customHeight="1" x14ac:dyDescent="0.25">
      <c r="B1" s="153" t="s">
        <v>84</v>
      </c>
      <c r="C1" s="153"/>
      <c r="D1" s="153"/>
    </row>
    <row r="2" spans="2:12" x14ac:dyDescent="0.25">
      <c r="B2" s="155" t="s">
        <v>185</v>
      </c>
      <c r="C2" s="155"/>
      <c r="D2" s="155"/>
    </row>
    <row r="4" spans="2:12" x14ac:dyDescent="0.25">
      <c r="B4" s="2" t="s">
        <v>8</v>
      </c>
      <c r="C4" s="4" t="s">
        <v>19</v>
      </c>
      <c r="D4" s="4" t="s">
        <v>253</v>
      </c>
    </row>
    <row r="5" spans="2:12" x14ac:dyDescent="0.25">
      <c r="B5" s="54" t="s">
        <v>9</v>
      </c>
      <c r="C5" s="54">
        <v>31.1</v>
      </c>
      <c r="D5" s="61">
        <f>C5/C$18</f>
        <v>1.9858246599833981E-2</v>
      </c>
    </row>
    <row r="6" spans="2:12" x14ac:dyDescent="0.25">
      <c r="B6" s="54" t="s">
        <v>10</v>
      </c>
      <c r="C6" s="54">
        <v>16.2</v>
      </c>
      <c r="D6" s="61">
        <f t="shared" ref="D6:D16" si="0">C6/C$18</f>
        <v>1.0344167039141816E-2</v>
      </c>
    </row>
    <row r="7" spans="2:12" x14ac:dyDescent="0.25">
      <c r="B7" s="54" t="s">
        <v>11</v>
      </c>
      <c r="C7" s="54">
        <v>13.9</v>
      </c>
      <c r="D7" s="61">
        <f t="shared" si="0"/>
        <v>8.8755507311155096E-3</v>
      </c>
    </row>
    <row r="8" spans="2:12" x14ac:dyDescent="0.25">
      <c r="B8" s="54" t="s">
        <v>211</v>
      </c>
      <c r="C8" s="54">
        <v>0.4</v>
      </c>
      <c r="D8" s="61">
        <f t="shared" si="0"/>
        <v>2.5541153183066212E-4</v>
      </c>
    </row>
    <row r="9" spans="2:12" x14ac:dyDescent="0.25">
      <c r="B9" s="54" t="s">
        <v>12</v>
      </c>
      <c r="C9" s="54">
        <v>507.9</v>
      </c>
      <c r="D9" s="61">
        <f t="shared" si="0"/>
        <v>0.32430879254198325</v>
      </c>
    </row>
    <row r="10" spans="2:12" x14ac:dyDescent="0.25">
      <c r="B10" s="54" t="s">
        <v>13</v>
      </c>
      <c r="C10" s="54">
        <v>5.5</v>
      </c>
      <c r="D10" s="61">
        <f t="shared" si="0"/>
        <v>3.5119085626716044E-3</v>
      </c>
      <c r="K10" s="3"/>
      <c r="L10" s="3"/>
    </row>
    <row r="11" spans="2:12" x14ac:dyDescent="0.25">
      <c r="B11" s="54" t="s">
        <v>14</v>
      </c>
      <c r="C11" s="54">
        <v>2.9</v>
      </c>
      <c r="D11" s="61">
        <f t="shared" si="0"/>
        <v>1.8517336057723003E-3</v>
      </c>
    </row>
    <row r="12" spans="2:12" x14ac:dyDescent="0.25">
      <c r="B12" s="54" t="s">
        <v>15</v>
      </c>
      <c r="C12" s="54">
        <v>9.1999999999999993</v>
      </c>
      <c r="D12" s="61">
        <f t="shared" si="0"/>
        <v>5.8744652321052289E-3</v>
      </c>
      <c r="E12" s="3"/>
    </row>
    <row r="13" spans="2:12" x14ac:dyDescent="0.25">
      <c r="B13" s="54" t="s">
        <v>81</v>
      </c>
      <c r="C13" s="54">
        <v>1.5</v>
      </c>
      <c r="D13" s="61">
        <f t="shared" si="0"/>
        <v>9.5779324436498297E-4</v>
      </c>
      <c r="E13" s="3"/>
    </row>
    <row r="14" spans="2:12" x14ac:dyDescent="0.25">
      <c r="B14" s="54" t="s">
        <v>16</v>
      </c>
      <c r="C14" s="54">
        <v>968.1</v>
      </c>
      <c r="D14" s="61">
        <f t="shared" si="0"/>
        <v>0.61815975991316008</v>
      </c>
    </row>
    <row r="15" spans="2:12" x14ac:dyDescent="0.25">
      <c r="B15" s="54" t="s">
        <v>82</v>
      </c>
      <c r="C15" s="54">
        <v>6.5</v>
      </c>
      <c r="D15" s="61">
        <f t="shared" si="0"/>
        <v>4.1504373922482598E-3</v>
      </c>
    </row>
    <row r="16" spans="2:12" x14ac:dyDescent="0.25">
      <c r="B16" s="54" t="s">
        <v>83</v>
      </c>
      <c r="C16" s="54">
        <v>2.9</v>
      </c>
      <c r="D16" s="61">
        <f t="shared" si="0"/>
        <v>1.8517336057723003E-3</v>
      </c>
    </row>
    <row r="18" spans="2:10" x14ac:dyDescent="0.25">
      <c r="B18" s="2" t="s">
        <v>20</v>
      </c>
      <c r="C18" s="39">
        <f>SUM(C5:C16)</f>
        <v>1566.1000000000001</v>
      </c>
    </row>
    <row r="26" spans="2:10" x14ac:dyDescent="0.25">
      <c r="J26" s="3"/>
    </row>
  </sheetData>
  <mergeCells count="2">
    <mergeCell ref="B1:D1"/>
    <mergeCell ref="B2:D2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H21" sqref="H21"/>
    </sheetView>
  </sheetViews>
  <sheetFormatPr defaultRowHeight="13.2" x14ac:dyDescent="0.25"/>
  <cols>
    <col min="1" max="2" width="10.77734375" customWidth="1"/>
    <col min="3" max="3" width="22.77734375" customWidth="1"/>
  </cols>
  <sheetData>
    <row r="1" spans="1:3" x14ac:dyDescent="0.25">
      <c r="A1" s="2" t="s">
        <v>265</v>
      </c>
    </row>
    <row r="2" spans="1:3" x14ac:dyDescent="0.25">
      <c r="A2" s="2" t="s">
        <v>266</v>
      </c>
    </row>
    <row r="3" spans="1:3" x14ac:dyDescent="0.25">
      <c r="A3" s="2" t="s">
        <v>267</v>
      </c>
    </row>
    <row r="4" spans="1:3" x14ac:dyDescent="0.25">
      <c r="A4" s="2" t="s">
        <v>268</v>
      </c>
    </row>
    <row r="6" spans="1:3" x14ac:dyDescent="0.25">
      <c r="A6" s="155" t="s">
        <v>269</v>
      </c>
      <c r="B6" s="155"/>
      <c r="C6" s="155"/>
    </row>
    <row r="7" spans="1:3" x14ac:dyDescent="0.25">
      <c r="A7" s="2" t="s">
        <v>1</v>
      </c>
      <c r="B7" s="148" t="s">
        <v>19</v>
      </c>
      <c r="C7" s="2" t="s">
        <v>271</v>
      </c>
    </row>
    <row r="8" spans="1:3" x14ac:dyDescent="0.25">
      <c r="A8" s="3" t="s">
        <v>5</v>
      </c>
      <c r="B8">
        <v>1.28</v>
      </c>
    </row>
    <row r="9" spans="1:3" x14ac:dyDescent="0.25">
      <c r="A9" s="3" t="s">
        <v>4</v>
      </c>
      <c r="B9" s="156">
        <v>0</v>
      </c>
      <c r="C9" s="3" t="s">
        <v>286</v>
      </c>
    </row>
    <row r="10" spans="1:3" x14ac:dyDescent="0.25">
      <c r="A10" s="3" t="s">
        <v>2</v>
      </c>
      <c r="B10">
        <v>84.85</v>
      </c>
      <c r="C10" s="3" t="s">
        <v>286</v>
      </c>
    </row>
    <row r="11" spans="1:3" x14ac:dyDescent="0.25">
      <c r="A11" s="3" t="s">
        <v>37</v>
      </c>
      <c r="B11" s="59">
        <v>0</v>
      </c>
      <c r="C11" s="3" t="s">
        <v>270</v>
      </c>
    </row>
  </sheetData>
  <mergeCells count="1">
    <mergeCell ref="A6:C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H16" sqref="H16"/>
    </sheetView>
  </sheetViews>
  <sheetFormatPr defaultRowHeight="13.2" x14ac:dyDescent="0.25"/>
  <cols>
    <col min="1" max="1" width="16.77734375" customWidth="1"/>
    <col min="2" max="3" width="10.77734375" customWidth="1"/>
    <col min="4" max="4" width="12.77734375" customWidth="1"/>
    <col min="5" max="6" width="10.77734375" customWidth="1"/>
    <col min="7" max="7" width="50.77734375" customWidth="1"/>
    <col min="8" max="8" width="74.5546875" customWidth="1"/>
    <col min="9" max="13" width="10.77734375" customWidth="1"/>
  </cols>
  <sheetData>
    <row r="1" spans="1:8" ht="15.6" x14ac:dyDescent="0.3">
      <c r="A1" s="60" t="s">
        <v>234</v>
      </c>
    </row>
    <row r="3" spans="1:8" x14ac:dyDescent="0.25">
      <c r="A3" s="4" t="s">
        <v>235</v>
      </c>
      <c r="B3" s="4" t="s">
        <v>236</v>
      </c>
      <c r="C3" s="4" t="s">
        <v>237</v>
      </c>
      <c r="D3" s="4" t="s">
        <v>275</v>
      </c>
      <c r="E3" s="4" t="s">
        <v>19</v>
      </c>
      <c r="F3" s="4" t="s">
        <v>238</v>
      </c>
      <c r="G3" s="4" t="s">
        <v>241</v>
      </c>
    </row>
    <row r="4" spans="1:8" x14ac:dyDescent="0.25">
      <c r="A4" s="3" t="s">
        <v>5</v>
      </c>
      <c r="B4">
        <v>8275</v>
      </c>
      <c r="C4" s="58">
        <v>41655</v>
      </c>
      <c r="D4" s="147" t="s">
        <v>276</v>
      </c>
      <c r="E4">
        <v>83.71</v>
      </c>
      <c r="F4" s="3" t="s">
        <v>239</v>
      </c>
      <c r="G4" s="3" t="s">
        <v>242</v>
      </c>
    </row>
    <row r="5" spans="1:8" x14ac:dyDescent="0.25">
      <c r="A5" s="3" t="s">
        <v>5</v>
      </c>
      <c r="B5">
        <v>4279</v>
      </c>
      <c r="C5" s="58">
        <v>41655</v>
      </c>
      <c r="D5" s="147" t="s">
        <v>276</v>
      </c>
      <c r="E5">
        <v>17.260000000000002</v>
      </c>
      <c r="F5" s="3" t="s">
        <v>239</v>
      </c>
      <c r="G5" s="3" t="s">
        <v>243</v>
      </c>
      <c r="H5" s="3" t="s">
        <v>277</v>
      </c>
    </row>
    <row r="6" spans="1:8" x14ac:dyDescent="0.25">
      <c r="A6" s="3" t="s">
        <v>5</v>
      </c>
      <c r="B6">
        <v>5467</v>
      </c>
      <c r="C6" s="58">
        <v>41655</v>
      </c>
      <c r="D6" s="147" t="s">
        <v>276</v>
      </c>
      <c r="E6">
        <v>111.17</v>
      </c>
      <c r="F6" s="3" t="s">
        <v>239</v>
      </c>
      <c r="G6" s="3" t="s">
        <v>244</v>
      </c>
      <c r="H6" s="3" t="s">
        <v>279</v>
      </c>
    </row>
    <row r="7" spans="1:8" x14ac:dyDescent="0.25">
      <c r="A7" s="3" t="s">
        <v>5</v>
      </c>
      <c r="B7">
        <v>5292</v>
      </c>
      <c r="C7" s="58">
        <v>41655</v>
      </c>
      <c r="D7" s="147" t="s">
        <v>276</v>
      </c>
      <c r="E7" s="59">
        <v>107.76</v>
      </c>
      <c r="F7" s="3" t="s">
        <v>239</v>
      </c>
      <c r="G7" s="3" t="s">
        <v>249</v>
      </c>
      <c r="H7" s="3" t="s">
        <v>280</v>
      </c>
    </row>
    <row r="8" spans="1:8" x14ac:dyDescent="0.25">
      <c r="A8" s="3" t="s">
        <v>248</v>
      </c>
      <c r="C8" s="58"/>
      <c r="D8" s="58"/>
      <c r="E8" s="59">
        <f>SUM(E4:E7)</f>
        <v>319.89999999999998</v>
      </c>
      <c r="F8" s="3" t="s">
        <v>239</v>
      </c>
      <c r="G8" s="3"/>
    </row>
    <row r="9" spans="1:8" x14ac:dyDescent="0.25">
      <c r="A9" s="3" t="s">
        <v>5</v>
      </c>
      <c r="B9">
        <v>9241</v>
      </c>
      <c r="C9" s="58">
        <v>41961</v>
      </c>
      <c r="D9" s="58"/>
      <c r="E9">
        <v>42.58</v>
      </c>
      <c r="F9" s="3" t="s">
        <v>240</v>
      </c>
      <c r="G9" s="3" t="s">
        <v>245</v>
      </c>
      <c r="H9" s="3" t="s">
        <v>278</v>
      </c>
    </row>
    <row r="12" spans="1:8" x14ac:dyDescent="0.25">
      <c r="A12" s="3" t="s">
        <v>4</v>
      </c>
      <c r="B12">
        <v>93</v>
      </c>
      <c r="C12" s="58">
        <v>41655</v>
      </c>
      <c r="D12" s="147" t="s">
        <v>281</v>
      </c>
      <c r="E12">
        <v>173.56</v>
      </c>
      <c r="F12" s="3" t="s">
        <v>239</v>
      </c>
      <c r="G12" s="3" t="s">
        <v>246</v>
      </c>
      <c r="H12" s="3" t="s">
        <v>283</v>
      </c>
    </row>
    <row r="13" spans="1:8" x14ac:dyDescent="0.25">
      <c r="A13" s="3" t="s">
        <v>4</v>
      </c>
      <c r="B13">
        <v>5828</v>
      </c>
      <c r="C13" s="58">
        <v>41655</v>
      </c>
      <c r="D13" s="147" t="s">
        <v>276</v>
      </c>
      <c r="E13">
        <v>61.52</v>
      </c>
      <c r="F13" s="3" t="s">
        <v>239</v>
      </c>
      <c r="G13" s="3" t="s">
        <v>247</v>
      </c>
    </row>
    <row r="14" spans="1:8" x14ac:dyDescent="0.25">
      <c r="A14" s="3" t="s">
        <v>248</v>
      </c>
      <c r="E14">
        <f>E13+E12</f>
        <v>235.08</v>
      </c>
      <c r="F14" s="3" t="s">
        <v>239</v>
      </c>
    </row>
    <row r="16" spans="1:8" x14ac:dyDescent="0.25">
      <c r="A16" s="3" t="s">
        <v>4</v>
      </c>
      <c r="B16">
        <v>4575</v>
      </c>
      <c r="C16" s="58">
        <v>41655</v>
      </c>
      <c r="D16" s="58"/>
      <c r="E16">
        <v>22.77</v>
      </c>
      <c r="F16" s="3" t="s">
        <v>240</v>
      </c>
      <c r="G16" s="3" t="s">
        <v>243</v>
      </c>
    </row>
    <row r="19" spans="1:8" x14ac:dyDescent="0.25">
      <c r="A19" s="3" t="s">
        <v>2</v>
      </c>
      <c r="B19">
        <v>4966</v>
      </c>
      <c r="C19" s="58">
        <v>41857</v>
      </c>
      <c r="D19" s="147" t="s">
        <v>281</v>
      </c>
      <c r="E19">
        <v>206.7</v>
      </c>
      <c r="F19" s="3" t="s">
        <v>239</v>
      </c>
      <c r="G19" s="3" t="s">
        <v>250</v>
      </c>
      <c r="H19" s="3" t="s">
        <v>282</v>
      </c>
    </row>
    <row r="20" spans="1:8" x14ac:dyDescent="0.25">
      <c r="A20" s="3" t="s">
        <v>2</v>
      </c>
      <c r="B20">
        <v>5875</v>
      </c>
      <c r="C20" s="58">
        <v>41857</v>
      </c>
      <c r="D20" s="147" t="s">
        <v>276</v>
      </c>
      <c r="E20">
        <v>24.1</v>
      </c>
      <c r="F20" s="3" t="s">
        <v>239</v>
      </c>
      <c r="G20" s="3" t="s">
        <v>251</v>
      </c>
    </row>
    <row r="21" spans="1:8" x14ac:dyDescent="0.25">
      <c r="A21" s="3" t="s">
        <v>248</v>
      </c>
      <c r="C21" s="58"/>
      <c r="D21" s="58"/>
      <c r="E21">
        <f>E20+E19</f>
        <v>230.79999999999998</v>
      </c>
      <c r="F21" s="3"/>
      <c r="G21" s="3"/>
    </row>
    <row r="23" spans="1:8" x14ac:dyDescent="0.25">
      <c r="A23" s="3" t="s">
        <v>37</v>
      </c>
      <c r="B23">
        <v>5928</v>
      </c>
      <c r="C23" s="58">
        <v>41934</v>
      </c>
      <c r="D23" s="58"/>
      <c r="E23">
        <v>12.5</v>
      </c>
      <c r="F23" s="3" t="s">
        <v>239</v>
      </c>
      <c r="G23" s="3" t="s">
        <v>243</v>
      </c>
    </row>
    <row r="24" spans="1:8" x14ac:dyDescent="0.25">
      <c r="A24" s="3"/>
      <c r="C24" s="58"/>
      <c r="D24" s="58"/>
      <c r="F24" s="3"/>
      <c r="G24" s="3"/>
    </row>
    <row r="25" spans="1:8" x14ac:dyDescent="0.25">
      <c r="A25" s="3" t="s">
        <v>254</v>
      </c>
      <c r="E25">
        <f>E23+E21+E14+E8</f>
        <v>798.28</v>
      </c>
      <c r="F25" s="3" t="s">
        <v>239</v>
      </c>
    </row>
    <row r="26" spans="1:8" x14ac:dyDescent="0.25">
      <c r="A26" s="3" t="s">
        <v>254</v>
      </c>
      <c r="E26">
        <f>E16+E9</f>
        <v>65.349999999999994</v>
      </c>
      <c r="F26" s="3" t="s">
        <v>240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4"/>
  <sheetViews>
    <sheetView workbookViewId="0">
      <pane ySplit="1" topLeftCell="A35" activePane="bottomLeft" state="frozen"/>
      <selection pane="bottomLeft" activeCell="B55" sqref="B55"/>
    </sheetView>
  </sheetViews>
  <sheetFormatPr defaultRowHeight="13.2" x14ac:dyDescent="0.25"/>
  <cols>
    <col min="1" max="1" width="10.88671875" customWidth="1"/>
    <col min="2" max="2" width="64.5546875" customWidth="1"/>
    <col min="3" max="3" width="105.88671875" customWidth="1"/>
  </cols>
  <sheetData>
    <row r="1" spans="1:3" ht="15.6" x14ac:dyDescent="0.3">
      <c r="A1" s="16" t="s">
        <v>39</v>
      </c>
      <c r="B1" s="17" t="s">
        <v>40</v>
      </c>
      <c r="C1" s="17" t="s">
        <v>41</v>
      </c>
    </row>
    <row r="2" spans="1:3" x14ac:dyDescent="0.25">
      <c r="A2" s="18">
        <v>1</v>
      </c>
      <c r="B2" s="12" t="s">
        <v>159</v>
      </c>
    </row>
    <row r="3" spans="1:3" x14ac:dyDescent="0.25">
      <c r="A3" s="18">
        <v>2</v>
      </c>
      <c r="B3" t="s">
        <v>43</v>
      </c>
      <c r="C3" t="s">
        <v>42</v>
      </c>
    </row>
    <row r="4" spans="1:3" x14ac:dyDescent="0.25">
      <c r="A4" s="18">
        <v>3</v>
      </c>
      <c r="B4" t="s">
        <v>45</v>
      </c>
      <c r="C4" s="24" t="s">
        <v>44</v>
      </c>
    </row>
    <row r="5" spans="1:3" x14ac:dyDescent="0.25">
      <c r="A5" s="18">
        <v>4</v>
      </c>
      <c r="B5" t="s">
        <v>46</v>
      </c>
      <c r="C5" t="s">
        <v>47</v>
      </c>
    </row>
    <row r="6" spans="1:3" x14ac:dyDescent="0.25">
      <c r="A6" s="18">
        <v>5</v>
      </c>
      <c r="B6" s="3" t="s">
        <v>49</v>
      </c>
      <c r="C6" s="24" t="s">
        <v>48</v>
      </c>
    </row>
    <row r="7" spans="1:3" x14ac:dyDescent="0.25">
      <c r="A7" s="18">
        <v>6</v>
      </c>
      <c r="B7" s="3" t="s">
        <v>50</v>
      </c>
      <c r="C7" t="s">
        <v>51</v>
      </c>
    </row>
    <row r="8" spans="1:3" x14ac:dyDescent="0.25">
      <c r="A8" s="18">
        <v>7</v>
      </c>
      <c r="B8" s="3" t="s">
        <v>53</v>
      </c>
      <c r="C8" t="s">
        <v>52</v>
      </c>
    </row>
    <row r="9" spans="1:3" x14ac:dyDescent="0.25">
      <c r="A9" s="18">
        <v>8</v>
      </c>
      <c r="B9" s="3" t="s">
        <v>54</v>
      </c>
      <c r="C9" t="s">
        <v>55</v>
      </c>
    </row>
    <row r="10" spans="1:3" x14ac:dyDescent="0.25">
      <c r="A10" s="18">
        <v>9</v>
      </c>
      <c r="B10" s="3" t="s">
        <v>57</v>
      </c>
      <c r="C10" t="s">
        <v>56</v>
      </c>
    </row>
    <row r="11" spans="1:3" x14ac:dyDescent="0.25">
      <c r="A11" s="18">
        <v>10</v>
      </c>
      <c r="B11" s="3" t="s">
        <v>59</v>
      </c>
      <c r="C11" t="s">
        <v>60</v>
      </c>
    </row>
    <row r="12" spans="1:3" x14ac:dyDescent="0.25">
      <c r="A12" s="18">
        <v>11</v>
      </c>
      <c r="B12" s="3" t="s">
        <v>225</v>
      </c>
    </row>
    <row r="13" spans="1:3" x14ac:dyDescent="0.25">
      <c r="A13" s="18">
        <v>12</v>
      </c>
      <c r="B13" s="3" t="s">
        <v>61</v>
      </c>
    </row>
    <row r="14" spans="1:3" x14ac:dyDescent="0.25">
      <c r="A14" s="18">
        <v>13</v>
      </c>
      <c r="B14" s="3" t="s">
        <v>59</v>
      </c>
      <c r="C14" s="24" t="s">
        <v>62</v>
      </c>
    </row>
    <row r="15" spans="1:3" x14ac:dyDescent="0.25">
      <c r="A15" s="18">
        <v>14</v>
      </c>
      <c r="B15" s="3" t="s">
        <v>64</v>
      </c>
      <c r="C15" t="s">
        <v>63</v>
      </c>
    </row>
    <row r="16" spans="1:3" x14ac:dyDescent="0.25">
      <c r="A16" s="18">
        <v>15</v>
      </c>
      <c r="B16" s="3" t="s">
        <v>67</v>
      </c>
      <c r="C16" t="s">
        <v>42</v>
      </c>
    </row>
    <row r="17" spans="1:3" x14ac:dyDescent="0.25">
      <c r="A17" s="18">
        <v>16</v>
      </c>
      <c r="B17" s="3" t="s">
        <v>226</v>
      </c>
      <c r="C17" s="24" t="s">
        <v>224</v>
      </c>
    </row>
    <row r="18" spans="1:3" x14ac:dyDescent="0.25">
      <c r="A18" s="18">
        <v>17</v>
      </c>
      <c r="B18" s="3" t="s">
        <v>68</v>
      </c>
      <c r="C18" s="24" t="s">
        <v>69</v>
      </c>
    </row>
    <row r="19" spans="1:3" x14ac:dyDescent="0.25">
      <c r="A19" s="18">
        <v>18</v>
      </c>
      <c r="B19" s="3" t="s">
        <v>78</v>
      </c>
      <c r="C19" s="24" t="s">
        <v>77</v>
      </c>
    </row>
    <row r="20" spans="1:3" x14ac:dyDescent="0.25">
      <c r="A20" s="18">
        <v>19</v>
      </c>
      <c r="B20" s="3" t="s">
        <v>79</v>
      </c>
      <c r="C20" t="s">
        <v>80</v>
      </c>
    </row>
    <row r="21" spans="1:3" ht="14.4" x14ac:dyDescent="0.25">
      <c r="A21" s="18">
        <v>20</v>
      </c>
      <c r="B21" s="3" t="s">
        <v>59</v>
      </c>
      <c r="C21" s="26" t="s">
        <v>85</v>
      </c>
    </row>
    <row r="22" spans="1:3" x14ac:dyDescent="0.25">
      <c r="A22" s="18">
        <v>21</v>
      </c>
      <c r="B22" s="3" t="s">
        <v>227</v>
      </c>
      <c r="C22" s="24" t="s">
        <v>228</v>
      </c>
    </row>
    <row r="23" spans="1:3" x14ac:dyDescent="0.25">
      <c r="A23" s="18">
        <v>22</v>
      </c>
      <c r="B23" s="3" t="s">
        <v>86</v>
      </c>
      <c r="C23" s="3" t="s">
        <v>87</v>
      </c>
    </row>
    <row r="24" spans="1:3" x14ac:dyDescent="0.25">
      <c r="A24" s="18">
        <v>23</v>
      </c>
      <c r="B24" s="3" t="s">
        <v>90</v>
      </c>
      <c r="C24" s="24" t="s">
        <v>89</v>
      </c>
    </row>
    <row r="25" spans="1:3" x14ac:dyDescent="0.25">
      <c r="A25" s="18">
        <v>24</v>
      </c>
      <c r="B25" s="3" t="s">
        <v>91</v>
      </c>
      <c r="C25" t="s">
        <v>55</v>
      </c>
    </row>
    <row r="26" spans="1:3" x14ac:dyDescent="0.25">
      <c r="A26" s="18">
        <v>25</v>
      </c>
      <c r="B26" s="3" t="s">
        <v>92</v>
      </c>
    </row>
    <row r="27" spans="1:3" x14ac:dyDescent="0.25">
      <c r="A27" s="18">
        <v>26</v>
      </c>
      <c r="B27" s="3" t="s">
        <v>98</v>
      </c>
      <c r="C27" t="s">
        <v>99</v>
      </c>
    </row>
    <row r="28" spans="1:3" x14ac:dyDescent="0.25">
      <c r="A28" s="18">
        <v>27</v>
      </c>
      <c r="B28" s="3" t="s">
        <v>103</v>
      </c>
      <c r="C28" t="s">
        <v>102</v>
      </c>
    </row>
    <row r="29" spans="1:3" x14ac:dyDescent="0.25">
      <c r="A29" s="18">
        <v>28</v>
      </c>
      <c r="B29" s="3" t="s">
        <v>105</v>
      </c>
    </row>
    <row r="30" spans="1:3" x14ac:dyDescent="0.25">
      <c r="A30" s="18">
        <v>29</v>
      </c>
      <c r="B30" s="3" t="s">
        <v>136</v>
      </c>
    </row>
    <row r="31" spans="1:3" x14ac:dyDescent="0.25">
      <c r="A31" s="18">
        <v>30</v>
      </c>
      <c r="B31" s="3" t="s">
        <v>110</v>
      </c>
      <c r="C31" t="s">
        <v>109</v>
      </c>
    </row>
    <row r="32" spans="1:3" x14ac:dyDescent="0.25">
      <c r="A32" s="18">
        <v>31</v>
      </c>
      <c r="B32" s="29" t="s">
        <v>112</v>
      </c>
    </row>
    <row r="33" spans="1:3" x14ac:dyDescent="0.25">
      <c r="A33" s="18">
        <v>32</v>
      </c>
      <c r="B33" s="3" t="s">
        <v>114</v>
      </c>
      <c r="C33" t="s">
        <v>115</v>
      </c>
    </row>
    <row r="34" spans="1:3" x14ac:dyDescent="0.25">
      <c r="A34" s="18">
        <v>33</v>
      </c>
      <c r="B34" s="3" t="s">
        <v>123</v>
      </c>
      <c r="C34" t="s">
        <v>122</v>
      </c>
    </row>
    <row r="35" spans="1:3" x14ac:dyDescent="0.25">
      <c r="A35" s="18">
        <v>34</v>
      </c>
      <c r="B35" s="3" t="s">
        <v>130</v>
      </c>
      <c r="C35" t="s">
        <v>131</v>
      </c>
    </row>
    <row r="36" spans="1:3" x14ac:dyDescent="0.25">
      <c r="A36" s="18">
        <v>35</v>
      </c>
      <c r="B36" s="3" t="s">
        <v>134</v>
      </c>
      <c r="C36" s="24" t="s">
        <v>135</v>
      </c>
    </row>
    <row r="37" spans="1:3" x14ac:dyDescent="0.25">
      <c r="A37" s="18">
        <v>36</v>
      </c>
      <c r="B37" s="3" t="s">
        <v>142</v>
      </c>
      <c r="C37" t="s">
        <v>32</v>
      </c>
    </row>
    <row r="38" spans="1:3" x14ac:dyDescent="0.25">
      <c r="A38" s="18">
        <v>37</v>
      </c>
      <c r="B38" s="3" t="s">
        <v>145</v>
      </c>
      <c r="C38" s="24" t="s">
        <v>146</v>
      </c>
    </row>
    <row r="39" spans="1:3" x14ac:dyDescent="0.25">
      <c r="A39" s="18">
        <v>38</v>
      </c>
      <c r="B39" s="3" t="s">
        <v>149</v>
      </c>
      <c r="C39" t="s">
        <v>148</v>
      </c>
    </row>
    <row r="40" spans="1:3" x14ac:dyDescent="0.25">
      <c r="A40" s="18">
        <v>39</v>
      </c>
      <c r="B40" s="3" t="s">
        <v>158</v>
      </c>
      <c r="C40" t="s">
        <v>157</v>
      </c>
    </row>
    <row r="41" spans="1:3" x14ac:dyDescent="0.25">
      <c r="A41" s="18">
        <v>40</v>
      </c>
      <c r="B41" s="3" t="s">
        <v>161</v>
      </c>
    </row>
    <row r="42" spans="1:3" x14ac:dyDescent="0.25">
      <c r="A42" s="18">
        <v>41</v>
      </c>
      <c r="B42" s="3" t="s">
        <v>165</v>
      </c>
      <c r="C42" s="24" t="s">
        <v>164</v>
      </c>
    </row>
    <row r="43" spans="1:3" x14ac:dyDescent="0.25">
      <c r="A43" s="18">
        <v>42</v>
      </c>
      <c r="B43" s="3" t="s">
        <v>169</v>
      </c>
      <c r="C43" t="s">
        <v>171</v>
      </c>
    </row>
    <row r="44" spans="1:3" x14ac:dyDescent="0.25">
      <c r="A44" s="18">
        <v>43</v>
      </c>
      <c r="B44" s="3" t="s">
        <v>173</v>
      </c>
      <c r="C44" t="s">
        <v>172</v>
      </c>
    </row>
    <row r="45" spans="1:3" x14ac:dyDescent="0.25">
      <c r="A45" s="18">
        <v>44</v>
      </c>
      <c r="B45" s="3" t="s">
        <v>46</v>
      </c>
      <c r="C45" t="s">
        <v>175</v>
      </c>
    </row>
    <row r="46" spans="1:3" x14ac:dyDescent="0.25">
      <c r="A46" s="18">
        <v>45</v>
      </c>
      <c r="B46" s="3" t="s">
        <v>178</v>
      </c>
      <c r="C46" t="s">
        <v>179</v>
      </c>
    </row>
    <row r="47" spans="1:3" x14ac:dyDescent="0.25">
      <c r="A47" s="18">
        <v>46</v>
      </c>
      <c r="B47" s="3" t="s">
        <v>215</v>
      </c>
    </row>
    <row r="48" spans="1:3" x14ac:dyDescent="0.25">
      <c r="A48" s="18">
        <v>47</v>
      </c>
      <c r="B48" s="3" t="s">
        <v>213</v>
      </c>
      <c r="C48" t="s">
        <v>214</v>
      </c>
    </row>
    <row r="49" spans="1:3" x14ac:dyDescent="0.25">
      <c r="A49" s="18">
        <v>48</v>
      </c>
      <c r="B49" s="3" t="s">
        <v>220</v>
      </c>
      <c r="C49" s="24" t="s">
        <v>221</v>
      </c>
    </row>
    <row r="50" spans="1:3" x14ac:dyDescent="0.25">
      <c r="A50" s="18">
        <v>49</v>
      </c>
      <c r="B50" s="3" t="s">
        <v>222</v>
      </c>
      <c r="C50" t="s">
        <v>223</v>
      </c>
    </row>
    <row r="51" spans="1:3" x14ac:dyDescent="0.25">
      <c r="A51" s="18">
        <v>50</v>
      </c>
      <c r="B51" s="3" t="s">
        <v>264</v>
      </c>
    </row>
    <row r="52" spans="1:3" x14ac:dyDescent="0.25">
      <c r="A52" s="18">
        <v>51</v>
      </c>
      <c r="B52" s="3" t="s">
        <v>284</v>
      </c>
    </row>
    <row r="53" spans="1:3" x14ac:dyDescent="0.25">
      <c r="A53" s="18">
        <v>52</v>
      </c>
      <c r="B53" s="3" t="s">
        <v>285</v>
      </c>
    </row>
    <row r="54" spans="1:3" x14ac:dyDescent="0.25">
      <c r="A54" s="18">
        <v>53</v>
      </c>
      <c r="B54" s="3" t="s">
        <v>293</v>
      </c>
    </row>
  </sheetData>
  <hyperlinks>
    <hyperlink ref="C6" r:id="rId1"/>
    <hyperlink ref="C24" r:id="rId2"/>
    <hyperlink ref="C18" r:id="rId3"/>
    <hyperlink ref="C4" r:id="rId4"/>
    <hyperlink ref="C14" r:id="rId5"/>
    <hyperlink ref="C19" r:id="rId6"/>
    <hyperlink ref="C36" r:id="rId7"/>
    <hyperlink ref="C42" r:id="rId8"/>
    <hyperlink ref="C49" r:id="rId9"/>
    <hyperlink ref="C38" r:id="rId10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World</vt:lpstr>
      <vt:lpstr>US &amp; Canada </vt:lpstr>
      <vt:lpstr>Europe </vt:lpstr>
      <vt:lpstr>Rest of World</vt:lpstr>
      <vt:lpstr>US PHMSA Owner Data</vt:lpstr>
      <vt:lpstr>US PHMSA State Data</vt:lpstr>
      <vt:lpstr>Louisiana State Data</vt:lpstr>
      <vt:lpstr>Texas RRC Data</vt:lpstr>
      <vt:lpstr>Sources</vt:lpstr>
      <vt:lpstr>'US &amp; Canada '!Print_Area</vt:lpstr>
    </vt:vector>
  </TitlesOfParts>
  <Company>Pacific Northwest National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R. Brown</dc:creator>
  <cp:lastModifiedBy>Daryl Brown</cp:lastModifiedBy>
  <cp:lastPrinted>2016-07-21T16:15:42Z</cp:lastPrinted>
  <dcterms:created xsi:type="dcterms:W3CDTF">2008-12-19T22:24:46Z</dcterms:created>
  <dcterms:modified xsi:type="dcterms:W3CDTF">2016-09-01T20:38:25Z</dcterms:modified>
</cp:coreProperties>
</file>